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eur\Documents\My_scientific_works\Bingham_dambreaks\Grapher_results\"/>
    </mc:Choice>
  </mc:AlternateContent>
  <xr:revisionPtr revIDLastSave="0" documentId="13_ncr:1_{3EE30806-1386-4B80-9EC0-C18C007BB705}" xr6:coauthVersionLast="36" xr6:coauthVersionMax="36" xr10:uidLastSave="{00000000-0000-0000-0000-000000000000}"/>
  <bookViews>
    <workbookView xWindow="252" yWindow="432" windowWidth="27792" windowHeight="12348" tabRatio="902" xr2:uid="{00000000-000D-0000-FFFF-FFFF00000000}"/>
  </bookViews>
  <sheets>
    <sheet name="present_work_cylinder_3D" sheetId="20" r:id="rId1"/>
    <sheet name="present_work_cube_3D" sheetId="21" r:id="rId2"/>
  </sheets>
  <calcPr calcId="191029"/>
</workbook>
</file>

<file path=xl/calcChain.xml><?xml version="1.0" encoding="utf-8"?>
<calcChain xmlns="http://schemas.openxmlformats.org/spreadsheetml/2006/main">
  <c r="AD2" i="20" l="1"/>
  <c r="AD3" i="20"/>
  <c r="AD4" i="20"/>
  <c r="AD5" i="20"/>
  <c r="AD6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D49" i="20"/>
  <c r="AD50" i="20"/>
  <c r="AD51" i="20"/>
  <c r="AD52" i="20"/>
  <c r="AD53" i="20"/>
  <c r="AD54" i="20"/>
  <c r="AD55" i="20"/>
  <c r="AD56" i="20"/>
  <c r="AD57" i="20"/>
  <c r="AD58" i="20"/>
  <c r="AD59" i="20"/>
  <c r="AD60" i="20"/>
  <c r="AD61" i="20"/>
  <c r="AD62" i="20"/>
  <c r="AD63" i="20"/>
  <c r="AD64" i="20"/>
  <c r="AD65" i="20"/>
  <c r="AD66" i="20"/>
  <c r="AD67" i="20"/>
  <c r="AD68" i="20"/>
  <c r="AD69" i="20"/>
  <c r="AD70" i="20"/>
  <c r="AD71" i="20"/>
  <c r="AD72" i="20"/>
  <c r="AD73" i="20"/>
  <c r="AD74" i="20"/>
  <c r="AD75" i="20"/>
  <c r="AD76" i="20"/>
  <c r="AD77" i="20"/>
  <c r="AD78" i="20"/>
  <c r="AD79" i="20"/>
  <c r="AD80" i="20"/>
  <c r="AD81" i="20"/>
  <c r="AD82" i="20"/>
  <c r="AD83" i="20"/>
  <c r="AD84" i="20"/>
  <c r="AD85" i="20"/>
  <c r="AD86" i="20"/>
  <c r="AD87" i="20"/>
  <c r="AD88" i="20"/>
  <c r="AD89" i="20"/>
  <c r="AD90" i="20"/>
  <c r="AD91" i="20"/>
  <c r="AD92" i="20"/>
  <c r="AD93" i="20"/>
  <c r="AD94" i="20"/>
  <c r="AD95" i="20"/>
  <c r="AD96" i="20"/>
  <c r="AD97" i="20"/>
  <c r="AD98" i="20"/>
  <c r="AD99" i="20"/>
  <c r="AD100" i="20"/>
  <c r="AD101" i="20"/>
  <c r="AD102" i="20"/>
  <c r="AD103" i="20"/>
  <c r="AD104" i="20"/>
  <c r="AD105" i="20"/>
  <c r="AD106" i="20"/>
  <c r="AD107" i="20"/>
  <c r="AD108" i="20"/>
  <c r="AD109" i="20"/>
  <c r="AD110" i="20"/>
  <c r="AD111" i="20"/>
  <c r="AD112" i="20"/>
  <c r="AD113" i="20"/>
  <c r="AD114" i="20"/>
  <c r="AD115" i="20"/>
  <c r="AD116" i="20"/>
  <c r="AD117" i="20"/>
  <c r="AD118" i="20"/>
  <c r="AD119" i="20"/>
  <c r="AD120" i="20"/>
  <c r="AD121" i="20"/>
  <c r="AD122" i="20"/>
  <c r="AD123" i="20"/>
  <c r="AD124" i="20"/>
  <c r="AD125" i="20"/>
  <c r="AD126" i="20"/>
  <c r="AD127" i="20"/>
  <c r="AD128" i="20"/>
  <c r="AD129" i="20"/>
  <c r="AD130" i="20"/>
  <c r="AD131" i="20"/>
  <c r="AD132" i="20"/>
  <c r="AD133" i="20"/>
  <c r="AD134" i="20"/>
  <c r="AD135" i="20"/>
  <c r="AD136" i="20"/>
  <c r="AD137" i="20"/>
  <c r="AD138" i="20"/>
  <c r="AD139" i="20"/>
  <c r="AD140" i="20"/>
  <c r="AD141" i="20"/>
  <c r="AD142" i="20"/>
  <c r="AD143" i="20"/>
  <c r="AD144" i="20"/>
  <c r="AD145" i="20"/>
  <c r="AD146" i="20"/>
  <c r="AD147" i="20"/>
  <c r="AD148" i="20"/>
  <c r="AD149" i="20"/>
  <c r="AD150" i="20"/>
  <c r="AD151" i="20"/>
  <c r="AD152" i="20"/>
  <c r="AD153" i="20"/>
  <c r="AD154" i="20"/>
  <c r="AD155" i="20"/>
  <c r="AD156" i="20"/>
  <c r="AD157" i="20"/>
  <c r="AD158" i="20"/>
  <c r="AD159" i="20"/>
  <c r="AD160" i="20"/>
  <c r="AD161" i="20"/>
  <c r="AD162" i="20"/>
  <c r="AD163" i="20"/>
  <c r="AD164" i="20"/>
  <c r="AD165" i="20"/>
  <c r="AD166" i="20"/>
  <c r="AD167" i="20"/>
  <c r="AD168" i="20"/>
  <c r="AD169" i="20"/>
  <c r="AD170" i="20"/>
  <c r="AD171" i="20"/>
  <c r="AD172" i="20"/>
  <c r="AD173" i="20"/>
  <c r="AD174" i="20"/>
  <c r="AD175" i="20"/>
  <c r="AD176" i="20"/>
  <c r="AD177" i="20"/>
  <c r="AD178" i="20"/>
  <c r="AD179" i="20"/>
  <c r="AD180" i="20"/>
  <c r="AD181" i="20"/>
  <c r="AD182" i="20"/>
  <c r="AD183" i="20"/>
  <c r="AD184" i="20"/>
  <c r="AD185" i="20"/>
  <c r="AD186" i="20"/>
  <c r="AD187" i="20"/>
  <c r="AD188" i="20"/>
  <c r="AD189" i="20"/>
  <c r="AD190" i="20"/>
  <c r="AD191" i="20"/>
  <c r="AD192" i="20"/>
  <c r="AD193" i="20"/>
  <c r="AD194" i="20"/>
  <c r="AD195" i="20"/>
  <c r="AD196" i="20"/>
  <c r="AD197" i="20"/>
  <c r="AD198" i="20"/>
  <c r="AD199" i="20"/>
  <c r="AD200" i="20"/>
  <c r="AD201" i="20"/>
  <c r="AD202" i="20"/>
  <c r="AD203" i="20"/>
  <c r="AD204" i="20"/>
  <c r="AD205" i="20"/>
  <c r="AD206" i="20"/>
  <c r="AD207" i="20"/>
  <c r="AD208" i="20"/>
  <c r="AD209" i="20"/>
  <c r="AD210" i="20"/>
  <c r="AD211" i="20"/>
  <c r="AD212" i="20"/>
  <c r="AD213" i="20"/>
  <c r="AD214" i="20"/>
  <c r="AD215" i="20"/>
  <c r="AD216" i="20"/>
  <c r="AD217" i="20"/>
  <c r="AD218" i="20"/>
  <c r="AD219" i="20"/>
  <c r="AD220" i="20"/>
  <c r="AD221" i="20"/>
  <c r="AD222" i="20"/>
  <c r="AD223" i="20"/>
  <c r="AD224" i="20"/>
  <c r="AD225" i="20"/>
  <c r="AD226" i="20"/>
  <c r="AD227" i="20"/>
  <c r="AD228" i="20"/>
  <c r="AD229" i="20"/>
  <c r="AD230" i="20"/>
  <c r="AD231" i="20"/>
  <c r="AD232" i="20"/>
  <c r="AD233" i="20"/>
  <c r="AD234" i="20"/>
  <c r="AD235" i="20"/>
  <c r="AD236" i="20"/>
  <c r="AD237" i="20"/>
  <c r="AD238" i="20"/>
  <c r="AD239" i="20"/>
  <c r="AD240" i="20"/>
  <c r="AD241" i="20"/>
  <c r="AD242" i="20"/>
  <c r="AD243" i="20"/>
  <c r="AD244" i="20"/>
  <c r="AD245" i="20"/>
  <c r="AD246" i="20"/>
  <c r="AD247" i="20"/>
  <c r="AD248" i="20"/>
  <c r="AD249" i="20"/>
  <c r="AD250" i="20"/>
  <c r="AD251" i="20"/>
  <c r="AD252" i="20"/>
  <c r="AD253" i="20"/>
  <c r="AD254" i="20"/>
  <c r="AD255" i="20"/>
  <c r="AD256" i="20"/>
  <c r="AD257" i="20"/>
  <c r="AD258" i="20"/>
  <c r="AD259" i="20"/>
  <c r="AD260" i="20"/>
  <c r="AD261" i="20"/>
  <c r="AD262" i="20"/>
  <c r="AD263" i="20"/>
  <c r="AD264" i="20"/>
  <c r="AD265" i="20"/>
  <c r="AD266" i="20"/>
  <c r="AD267" i="20"/>
  <c r="AD268" i="20"/>
  <c r="AD269" i="20"/>
  <c r="AD270" i="20"/>
  <c r="AD271" i="20"/>
  <c r="AD272" i="20"/>
  <c r="AD273" i="20"/>
  <c r="AD274" i="20"/>
  <c r="AD275" i="20"/>
  <c r="AD276" i="20"/>
  <c r="AD277" i="20"/>
  <c r="AD278" i="20"/>
  <c r="AD279" i="20"/>
  <c r="AD280" i="20"/>
  <c r="AD281" i="20"/>
  <c r="AD282" i="20"/>
  <c r="AD283" i="20"/>
  <c r="AD284" i="20"/>
  <c r="AD285" i="20"/>
  <c r="AD286" i="20"/>
  <c r="AD287" i="20"/>
  <c r="AD288" i="20"/>
  <c r="AD289" i="20"/>
  <c r="AD290" i="20"/>
  <c r="AD291" i="20"/>
  <c r="AD292" i="20"/>
  <c r="AD293" i="20"/>
  <c r="AD294" i="20"/>
  <c r="AD295" i="20"/>
  <c r="AD296" i="20"/>
  <c r="AD297" i="20"/>
  <c r="AD298" i="20"/>
  <c r="AD299" i="20"/>
  <c r="AD300" i="20"/>
  <c r="AD301" i="20"/>
  <c r="AD302" i="20"/>
  <c r="AD303" i="20"/>
  <c r="AD304" i="20"/>
  <c r="AD305" i="20"/>
  <c r="AD306" i="20"/>
  <c r="AD307" i="20"/>
  <c r="AD308" i="20"/>
  <c r="AD309" i="20"/>
  <c r="AD310" i="20"/>
  <c r="AD311" i="20"/>
  <c r="AD312" i="20"/>
  <c r="AD313" i="20"/>
  <c r="AD314" i="20"/>
  <c r="AD315" i="20"/>
  <c r="AD316" i="20"/>
  <c r="AD317" i="20"/>
  <c r="AD318" i="20"/>
  <c r="AD319" i="20"/>
  <c r="AD320" i="20"/>
  <c r="AD321" i="20"/>
  <c r="AD322" i="20"/>
  <c r="AD323" i="20"/>
  <c r="AD324" i="20"/>
  <c r="AD325" i="20"/>
  <c r="AD326" i="20"/>
  <c r="AD327" i="20"/>
  <c r="AD328" i="20"/>
  <c r="AD329" i="20"/>
  <c r="AD330" i="20"/>
  <c r="AD331" i="20"/>
  <c r="AD332" i="20"/>
  <c r="AD333" i="20"/>
  <c r="AD334" i="20"/>
  <c r="AD335" i="20"/>
  <c r="AD336" i="20"/>
  <c r="AD337" i="20"/>
  <c r="AD338" i="20"/>
  <c r="AD339" i="20"/>
  <c r="AD340" i="20"/>
  <c r="AD341" i="20"/>
  <c r="AD342" i="20"/>
  <c r="AD343" i="20"/>
  <c r="AD344" i="20"/>
  <c r="AD345" i="20"/>
  <c r="AD346" i="20"/>
  <c r="AD347" i="20"/>
  <c r="AD348" i="20"/>
  <c r="AD349" i="20"/>
  <c r="AD350" i="20"/>
  <c r="AD351" i="20"/>
  <c r="AD352" i="20"/>
  <c r="AD353" i="20"/>
  <c r="AD354" i="20"/>
  <c r="AD355" i="20"/>
  <c r="AD356" i="20"/>
  <c r="AD357" i="20"/>
  <c r="AD358" i="20"/>
  <c r="AD359" i="20"/>
  <c r="AD360" i="20"/>
  <c r="AD361" i="20"/>
  <c r="AD362" i="20"/>
  <c r="AD363" i="20"/>
  <c r="AD364" i="20"/>
  <c r="AD365" i="20"/>
  <c r="AD366" i="20"/>
  <c r="AD367" i="20"/>
  <c r="AD368" i="20"/>
  <c r="AD369" i="20"/>
  <c r="AD370" i="20"/>
  <c r="AD371" i="20"/>
  <c r="AD372" i="20"/>
  <c r="AD373" i="20"/>
  <c r="AD374" i="20"/>
  <c r="AD375" i="20"/>
  <c r="AD376" i="20"/>
  <c r="AD377" i="20"/>
  <c r="AD378" i="20"/>
  <c r="AD379" i="20"/>
  <c r="AD380" i="20"/>
  <c r="AD381" i="20"/>
  <c r="AD382" i="20"/>
  <c r="AD383" i="20"/>
  <c r="AD384" i="20"/>
  <c r="AD385" i="20"/>
  <c r="AD386" i="20"/>
  <c r="AD387" i="20"/>
  <c r="AD388" i="20"/>
  <c r="AD389" i="20"/>
  <c r="AD390" i="20"/>
  <c r="AD391" i="20"/>
  <c r="AD392" i="20"/>
  <c r="AD393" i="20"/>
  <c r="AD394" i="20"/>
  <c r="AD395" i="20"/>
  <c r="AD396" i="20"/>
  <c r="AD397" i="20"/>
  <c r="AD398" i="20"/>
  <c r="AD399" i="20"/>
  <c r="AD400" i="20"/>
  <c r="AD401" i="20"/>
  <c r="AD402" i="20"/>
  <c r="AD403" i="20"/>
  <c r="AD404" i="20"/>
  <c r="AD405" i="20"/>
  <c r="AD406" i="20"/>
  <c r="AD407" i="20"/>
  <c r="AD408" i="20"/>
  <c r="AD409" i="20"/>
  <c r="AD410" i="20"/>
  <c r="AD411" i="20"/>
  <c r="AD412" i="20"/>
  <c r="AD413" i="20"/>
  <c r="AD414" i="20"/>
  <c r="AD415" i="20"/>
  <c r="AD416" i="20"/>
  <c r="AD417" i="20"/>
  <c r="AD418" i="20"/>
  <c r="AD419" i="20"/>
  <c r="AD420" i="20"/>
  <c r="AD421" i="20"/>
  <c r="AD422" i="20"/>
  <c r="AD423" i="20"/>
  <c r="AD424" i="20"/>
  <c r="AD425" i="20"/>
  <c r="AD426" i="20"/>
  <c r="AD427" i="20"/>
  <c r="AD428" i="20"/>
  <c r="AD429" i="20"/>
  <c r="AD430" i="20"/>
  <c r="AD431" i="20"/>
  <c r="AD432" i="20"/>
  <c r="AD433" i="20"/>
  <c r="AD434" i="20"/>
  <c r="AD435" i="20"/>
  <c r="AD436" i="20"/>
  <c r="AD437" i="20"/>
  <c r="AD438" i="20"/>
  <c r="AD439" i="20"/>
  <c r="AD440" i="20"/>
  <c r="AD441" i="20"/>
  <c r="AD442" i="20"/>
  <c r="AD443" i="20"/>
  <c r="AD444" i="20"/>
  <c r="AD445" i="20"/>
  <c r="AD446" i="20"/>
  <c r="AD447" i="20"/>
  <c r="AD448" i="20"/>
  <c r="AD449" i="20"/>
  <c r="AD450" i="20"/>
  <c r="AD451" i="20"/>
  <c r="AD452" i="20"/>
  <c r="AD453" i="20"/>
  <c r="AD454" i="20"/>
  <c r="AD455" i="20"/>
  <c r="AD456" i="20"/>
  <c r="AD457" i="20"/>
  <c r="AD458" i="20"/>
  <c r="AD459" i="20"/>
  <c r="AD460" i="20"/>
  <c r="AD461" i="20"/>
  <c r="AD462" i="20"/>
  <c r="AD463" i="20"/>
  <c r="AD464" i="20"/>
  <c r="AD465" i="20"/>
  <c r="AD466" i="20"/>
  <c r="AD467" i="20"/>
  <c r="AD468" i="20"/>
  <c r="AD469" i="20"/>
  <c r="AD470" i="20"/>
  <c r="AD471" i="20"/>
  <c r="AD472" i="20"/>
  <c r="AD473" i="20"/>
  <c r="AD474" i="20"/>
  <c r="AD475" i="20"/>
  <c r="AD476" i="20"/>
  <c r="AD477" i="20"/>
  <c r="AD478" i="20"/>
  <c r="AD479" i="20"/>
  <c r="AD480" i="20"/>
  <c r="AD481" i="20"/>
  <c r="AD482" i="20"/>
  <c r="AD483" i="20"/>
  <c r="AD484" i="20"/>
  <c r="AD485" i="20"/>
  <c r="AD486" i="20"/>
  <c r="AD487" i="20"/>
  <c r="AD488" i="20"/>
  <c r="AD489" i="20"/>
  <c r="AD490" i="20"/>
  <c r="AD491" i="20"/>
  <c r="AD492" i="20"/>
  <c r="AD493" i="20"/>
  <c r="AD494" i="20"/>
  <c r="AD495" i="20"/>
  <c r="AD496" i="20"/>
  <c r="AD497" i="20"/>
  <c r="AD498" i="20"/>
  <c r="AD499" i="20"/>
  <c r="AD500" i="20"/>
  <c r="AD501" i="20"/>
  <c r="AD502" i="20"/>
  <c r="AD503" i="20"/>
  <c r="AD504" i="20"/>
  <c r="AD505" i="20"/>
  <c r="AD506" i="20"/>
  <c r="AD507" i="20"/>
  <c r="AD508" i="20"/>
  <c r="AD509" i="20"/>
  <c r="AD510" i="20"/>
  <c r="AD511" i="20"/>
  <c r="AD512" i="20"/>
  <c r="AD513" i="20"/>
  <c r="AD514" i="20"/>
  <c r="AD515" i="20"/>
  <c r="AD516" i="20"/>
  <c r="AD517" i="20"/>
  <c r="AD518" i="20"/>
  <c r="AD519" i="20"/>
  <c r="AD520" i="20"/>
  <c r="AD521" i="20"/>
  <c r="AD522" i="20"/>
  <c r="AD523" i="20"/>
  <c r="AD524" i="20"/>
  <c r="AD525" i="20"/>
  <c r="AD526" i="20"/>
  <c r="AD527" i="20"/>
  <c r="AD528" i="20"/>
  <c r="AD529" i="20"/>
  <c r="AD530" i="20"/>
  <c r="AD531" i="20"/>
  <c r="AD532" i="20"/>
  <c r="AD533" i="20"/>
  <c r="AD534" i="20"/>
  <c r="AD535" i="20"/>
  <c r="AD536" i="20"/>
  <c r="AD537" i="20"/>
  <c r="AD538" i="20"/>
  <c r="AD539" i="20"/>
  <c r="AD540" i="20"/>
  <c r="AD541" i="20"/>
  <c r="AD542" i="20"/>
  <c r="AD543" i="20"/>
  <c r="AD544" i="20"/>
  <c r="AD545" i="20"/>
  <c r="AD546" i="20"/>
  <c r="AD547" i="20"/>
  <c r="AD548" i="20"/>
  <c r="AD549" i="20"/>
  <c r="AD550" i="20"/>
  <c r="AD551" i="20"/>
  <c r="AD552" i="20"/>
  <c r="AD553" i="20"/>
  <c r="AD554" i="20"/>
  <c r="AD555" i="20"/>
  <c r="AD556" i="20"/>
  <c r="AD557" i="20"/>
  <c r="AD558" i="20"/>
  <c r="AD559" i="20"/>
  <c r="AD560" i="20"/>
  <c r="AD561" i="20"/>
  <c r="AD562" i="20"/>
  <c r="AD563" i="20"/>
  <c r="AD564" i="20"/>
  <c r="AD565" i="20"/>
  <c r="AD566" i="20"/>
  <c r="AD567" i="20"/>
  <c r="AD568" i="20"/>
  <c r="AD569" i="20"/>
  <c r="AD570" i="20"/>
  <c r="AD571" i="20"/>
  <c r="AD572" i="20"/>
  <c r="AD573" i="20"/>
  <c r="AD574" i="20"/>
  <c r="AD575" i="20"/>
  <c r="AD576" i="20"/>
  <c r="AD577" i="20"/>
  <c r="AD578" i="20"/>
  <c r="AD579" i="20"/>
  <c r="AD580" i="20"/>
  <c r="AD581" i="20"/>
  <c r="AD582" i="20"/>
  <c r="AD583" i="20"/>
  <c r="AD584" i="20"/>
  <c r="AD585" i="20"/>
  <c r="AD586" i="20"/>
  <c r="AD587" i="20"/>
  <c r="AD588" i="20"/>
  <c r="AD589" i="20"/>
  <c r="AD590" i="20"/>
  <c r="AD591" i="20"/>
  <c r="AD592" i="20"/>
  <c r="AD593" i="20"/>
  <c r="AD594" i="20"/>
  <c r="AD595" i="20"/>
  <c r="AD596" i="20"/>
  <c r="AD597" i="20"/>
  <c r="AD598" i="20"/>
  <c r="AD599" i="20"/>
  <c r="AD600" i="20"/>
  <c r="AD601" i="20"/>
  <c r="AD602" i="20"/>
  <c r="AD603" i="20"/>
  <c r="AD604" i="20"/>
  <c r="AD605" i="20"/>
  <c r="AD606" i="20"/>
  <c r="AD607" i="20"/>
  <c r="AD608" i="20"/>
  <c r="AD609" i="20"/>
  <c r="AD610" i="20"/>
  <c r="AD611" i="20"/>
  <c r="AD612" i="20"/>
  <c r="AD613" i="20"/>
  <c r="AD614" i="20"/>
  <c r="AD615" i="20"/>
  <c r="AD616" i="20"/>
  <c r="AD617" i="20"/>
  <c r="AD618" i="20"/>
  <c r="AD619" i="20"/>
  <c r="AD620" i="20"/>
  <c r="AD621" i="20"/>
  <c r="AD622" i="20"/>
  <c r="AD623" i="20"/>
  <c r="AD624" i="20"/>
  <c r="AD625" i="20"/>
  <c r="AD626" i="20"/>
  <c r="AD627" i="20"/>
  <c r="AD628" i="20"/>
  <c r="AD629" i="20"/>
  <c r="AD630" i="20"/>
  <c r="AD631" i="20"/>
  <c r="AD632" i="20"/>
  <c r="T3" i="20" l="1"/>
  <c r="T5" i="20" l="1"/>
  <c r="L45" i="20" l="1"/>
  <c r="T4" i="20"/>
  <c r="L44" i="20" s="1"/>
  <c r="L43" i="20"/>
  <c r="L36" i="20"/>
  <c r="L37" i="20"/>
  <c r="L38" i="20"/>
  <c r="L39" i="20"/>
  <c r="L40" i="20"/>
  <c r="L35" i="20"/>
  <c r="L28" i="20"/>
  <c r="L29" i="20"/>
  <c r="L30" i="20"/>
  <c r="L31" i="20"/>
  <c r="L32" i="20"/>
  <c r="L27" i="20"/>
  <c r="L20" i="20"/>
  <c r="L21" i="20"/>
  <c r="L22" i="20"/>
  <c r="L23" i="20"/>
  <c r="L24" i="20"/>
  <c r="L19" i="20"/>
  <c r="L12" i="20"/>
  <c r="L13" i="20"/>
  <c r="L14" i="20"/>
  <c r="L15" i="20"/>
  <c r="L16" i="20"/>
  <c r="L11" i="20"/>
  <c r="O8" i="20" l="1"/>
  <c r="D48" i="21" l="1"/>
  <c r="E48" i="21" s="1"/>
  <c r="S8" i="21" s="1"/>
  <c r="D47" i="21"/>
  <c r="D46" i="21"/>
  <c r="D45" i="21"/>
  <c r="D44" i="21"/>
  <c r="D43" i="21"/>
  <c r="T3" i="21" s="1"/>
  <c r="D40" i="21"/>
  <c r="D39" i="21"/>
  <c r="D38" i="21"/>
  <c r="D37" i="21"/>
  <c r="D36" i="21"/>
  <c r="D35" i="21"/>
  <c r="D32" i="21"/>
  <c r="E32" i="21" s="1"/>
  <c r="K8" i="21" s="1"/>
  <c r="J32" i="21" s="1"/>
  <c r="K32" i="21" s="1"/>
  <c r="D31" i="21"/>
  <c r="D30" i="21"/>
  <c r="D29" i="21"/>
  <c r="D28" i="21"/>
  <c r="E28" i="21" s="1"/>
  <c r="D27" i="21"/>
  <c r="D24" i="21"/>
  <c r="E24" i="21" s="1"/>
  <c r="G8" i="21" s="1"/>
  <c r="J24" i="21" s="1"/>
  <c r="K24" i="21" s="1"/>
  <c r="D23" i="21"/>
  <c r="E23" i="21" s="1"/>
  <c r="G7" i="21" s="1"/>
  <c r="J23" i="21" s="1"/>
  <c r="K23" i="21" s="1"/>
  <c r="D22" i="21"/>
  <c r="D21" i="21"/>
  <c r="E21" i="21" s="1"/>
  <c r="D20" i="21"/>
  <c r="E20" i="21" s="1"/>
  <c r="D19" i="21"/>
  <c r="D16" i="21"/>
  <c r="D15" i="21"/>
  <c r="D14" i="21"/>
  <c r="E14" i="21" s="1"/>
  <c r="C6" i="21" s="1"/>
  <c r="J14" i="21" s="1"/>
  <c r="K14" i="21" s="1"/>
  <c r="D13" i="21"/>
  <c r="D12" i="21"/>
  <c r="E12" i="21" s="1"/>
  <c r="D11" i="21"/>
  <c r="E47" i="21"/>
  <c r="S7" i="21" s="1"/>
  <c r="I43" i="21"/>
  <c r="E43" i="21" s="1"/>
  <c r="S3" i="21" s="1"/>
  <c r="E38" i="21"/>
  <c r="O6" i="21" s="1"/>
  <c r="J38" i="21" s="1"/>
  <c r="K38" i="21" s="1"/>
  <c r="E37" i="21"/>
  <c r="O5" i="21" s="1"/>
  <c r="J37" i="21" s="1"/>
  <c r="K37" i="21" s="1"/>
  <c r="E36" i="21"/>
  <c r="O4" i="21" s="1"/>
  <c r="J36" i="21" s="1"/>
  <c r="K36" i="21" s="1"/>
  <c r="I35" i="21"/>
  <c r="E31" i="21"/>
  <c r="K7" i="21" s="1"/>
  <c r="J31" i="21" s="1"/>
  <c r="K31" i="21" s="1"/>
  <c r="I27" i="21"/>
  <c r="E27" i="21" s="1"/>
  <c r="K3" i="21" s="1"/>
  <c r="J27" i="21" s="1"/>
  <c r="K27" i="21" s="1"/>
  <c r="E22" i="21"/>
  <c r="I19" i="21"/>
  <c r="E15" i="21"/>
  <c r="I11" i="21"/>
  <c r="E11" i="21" s="1"/>
  <c r="C3" i="21" s="1"/>
  <c r="J11" i="21" s="1"/>
  <c r="K11" i="21" s="1"/>
  <c r="C7" i="21" l="1"/>
  <c r="J15" i="21" s="1"/>
  <c r="K15" i="21" s="1"/>
  <c r="Q13" i="21"/>
  <c r="N13" i="21" s="1"/>
  <c r="D5" i="21"/>
  <c r="L13" i="21" s="1"/>
  <c r="Q19" i="21"/>
  <c r="N19" i="21" s="1"/>
  <c r="H3" i="21"/>
  <c r="L19" i="21" s="1"/>
  <c r="Q23" i="21"/>
  <c r="N23" i="21" s="1"/>
  <c r="H7" i="21"/>
  <c r="L23" i="21" s="1"/>
  <c r="E29" i="21"/>
  <c r="K5" i="21" s="1"/>
  <c r="J29" i="21" s="1"/>
  <c r="K29" i="21" s="1"/>
  <c r="L5" i="21"/>
  <c r="L29" i="21" s="1"/>
  <c r="Q29" i="21"/>
  <c r="Q35" i="21"/>
  <c r="N35" i="21" s="1"/>
  <c r="P3" i="21"/>
  <c r="L35" i="21" s="1"/>
  <c r="Q39" i="21"/>
  <c r="N39" i="21" s="1"/>
  <c r="P7" i="21"/>
  <c r="L39" i="21" s="1"/>
  <c r="Q45" i="21"/>
  <c r="T5" i="21"/>
  <c r="L45" i="21" s="1"/>
  <c r="C4" i="21"/>
  <c r="J12" i="21" s="1"/>
  <c r="K12" i="21" s="1"/>
  <c r="Q20" i="21"/>
  <c r="H4" i="21"/>
  <c r="L20" i="21" s="1"/>
  <c r="E30" i="21"/>
  <c r="K6" i="21" s="1"/>
  <c r="J30" i="21" s="1"/>
  <c r="K30" i="21" s="1"/>
  <c r="L6" i="21"/>
  <c r="L30" i="21" s="1"/>
  <c r="Q30" i="21"/>
  <c r="N30" i="21"/>
  <c r="Q40" i="21"/>
  <c r="N40" i="21" s="1"/>
  <c r="P8" i="21"/>
  <c r="L40" i="21" s="1"/>
  <c r="E13" i="21"/>
  <c r="C5" i="21" s="1"/>
  <c r="J13" i="21" s="1"/>
  <c r="K13" i="21" s="1"/>
  <c r="G5" i="21"/>
  <c r="J21" i="21" s="1"/>
  <c r="K21" i="21" s="1"/>
  <c r="K4" i="21"/>
  <c r="J28" i="21" s="1"/>
  <c r="K28" i="21" s="1"/>
  <c r="E45" i="21"/>
  <c r="S5" i="21" s="1"/>
  <c r="J45" i="21" s="1"/>
  <c r="K45" i="21" s="1"/>
  <c r="D3" i="21"/>
  <c r="L11" i="21" s="1"/>
  <c r="Q11" i="21"/>
  <c r="N11" i="21" s="1"/>
  <c r="Q15" i="21"/>
  <c r="D7" i="21"/>
  <c r="L15" i="21" s="1"/>
  <c r="Q21" i="21"/>
  <c r="H5" i="21"/>
  <c r="L21" i="21" s="1"/>
  <c r="L3" i="21"/>
  <c r="L27" i="21" s="1"/>
  <c r="Q27" i="21"/>
  <c r="N27" i="21" s="1"/>
  <c r="L7" i="21"/>
  <c r="L31" i="21" s="1"/>
  <c r="Q31" i="21"/>
  <c r="N31" i="21"/>
  <c r="Q37" i="21"/>
  <c r="N37" i="21" s="1"/>
  <c r="P5" i="21"/>
  <c r="L37" i="21" s="1"/>
  <c r="Q43" i="21"/>
  <c r="N43" i="21" s="1"/>
  <c r="L43" i="21"/>
  <c r="Q47" i="21"/>
  <c r="N47" i="21"/>
  <c r="T7" i="21"/>
  <c r="L47" i="21" s="1"/>
  <c r="G4" i="21"/>
  <c r="J20" i="21" s="1"/>
  <c r="K20" i="21" s="1"/>
  <c r="E39" i="21"/>
  <c r="O7" i="21" s="1"/>
  <c r="J39" i="21" s="1"/>
  <c r="K39" i="21" s="1"/>
  <c r="N14" i="21"/>
  <c r="Q14" i="21"/>
  <c r="D6" i="21"/>
  <c r="L14" i="21" s="1"/>
  <c r="Q24" i="21"/>
  <c r="H8" i="21"/>
  <c r="L24" i="21" s="1"/>
  <c r="Q36" i="21"/>
  <c r="N36" i="21" s="1"/>
  <c r="P4" i="21"/>
  <c r="L36" i="21" s="1"/>
  <c r="Q46" i="21"/>
  <c r="T6" i="21"/>
  <c r="L46" i="21" s="1"/>
  <c r="G6" i="21"/>
  <c r="J22" i="21" s="1"/>
  <c r="K22" i="21" s="1"/>
  <c r="E40" i="21"/>
  <c r="O8" i="21" s="1"/>
  <c r="J40" i="21" s="1"/>
  <c r="K40" i="21" s="1"/>
  <c r="E46" i="21"/>
  <c r="S6" i="21" s="1"/>
  <c r="Q12" i="21"/>
  <c r="D4" i="21"/>
  <c r="L12" i="21" s="1"/>
  <c r="E16" i="21"/>
  <c r="C8" i="21" s="1"/>
  <c r="J16" i="21" s="1"/>
  <c r="K16" i="21" s="1"/>
  <c r="D8" i="21"/>
  <c r="L16" i="21" s="1"/>
  <c r="Q16" i="21"/>
  <c r="Q22" i="21"/>
  <c r="H6" i="21"/>
  <c r="L22" i="21" s="1"/>
  <c r="L4" i="21"/>
  <c r="L28" i="21" s="1"/>
  <c r="Q28" i="21"/>
  <c r="N28" i="21" s="1"/>
  <c r="L8" i="21"/>
  <c r="L32" i="21" s="1"/>
  <c r="Q32" i="21"/>
  <c r="Q38" i="21"/>
  <c r="P6" i="21"/>
  <c r="L38" i="21" s="1"/>
  <c r="Q44" i="21"/>
  <c r="T4" i="21"/>
  <c r="L44" i="21" s="1"/>
  <c r="Q48" i="21"/>
  <c r="T8" i="21"/>
  <c r="L48" i="21" s="1"/>
  <c r="J43" i="21"/>
  <c r="K43" i="21" s="1"/>
  <c r="J48" i="21"/>
  <c r="K48" i="21" s="1"/>
  <c r="J46" i="21"/>
  <c r="K46" i="21" s="1"/>
  <c r="J47" i="21"/>
  <c r="K47" i="21" s="1"/>
  <c r="E44" i="21"/>
  <c r="S4" i="21" s="1"/>
  <c r="E19" i="21"/>
  <c r="E35" i="21"/>
  <c r="O3" i="21" s="1"/>
  <c r="J35" i="21" s="1"/>
  <c r="K35" i="21" s="1"/>
  <c r="T8" i="20"/>
  <c r="L48" i="20" s="1"/>
  <c r="T7" i="20"/>
  <c r="L47" i="20" s="1"/>
  <c r="T6" i="20"/>
  <c r="L46" i="20" s="1"/>
  <c r="G3" i="21" l="1"/>
  <c r="J19" i="21" s="1"/>
  <c r="K19" i="21" s="1"/>
  <c r="N44" i="21"/>
  <c r="M44" i="21"/>
  <c r="U44" i="21"/>
  <c r="U32" i="21"/>
  <c r="M32" i="21"/>
  <c r="N32" i="21"/>
  <c r="U16" i="21"/>
  <c r="M16" i="21"/>
  <c r="N16" i="21"/>
  <c r="N20" i="21"/>
  <c r="M20" i="21"/>
  <c r="U20" i="21"/>
  <c r="U12" i="21"/>
  <c r="M12" i="21"/>
  <c r="N12" i="21"/>
  <c r="N24" i="21"/>
  <c r="M24" i="21"/>
  <c r="U24" i="21"/>
  <c r="U45" i="21"/>
  <c r="M45" i="21"/>
  <c r="N45" i="21"/>
  <c r="N29" i="21"/>
  <c r="U29" i="21"/>
  <c r="M29" i="21"/>
  <c r="U38" i="21"/>
  <c r="M38" i="21"/>
  <c r="N38" i="21"/>
  <c r="U21" i="21"/>
  <c r="M21" i="21"/>
  <c r="N21" i="21"/>
  <c r="U14" i="21"/>
  <c r="M14" i="21"/>
  <c r="U47" i="21"/>
  <c r="M47" i="21"/>
  <c r="U43" i="21"/>
  <c r="M43" i="21"/>
  <c r="U11" i="21"/>
  <c r="M11" i="21"/>
  <c r="U40" i="21"/>
  <c r="M40" i="21"/>
  <c r="U39" i="21"/>
  <c r="M39" i="21"/>
  <c r="M23" i="21"/>
  <c r="U23" i="21"/>
  <c r="U35" i="21"/>
  <c r="M35" i="21"/>
  <c r="N48" i="21"/>
  <c r="M48" i="21"/>
  <c r="U48" i="21"/>
  <c r="U28" i="21"/>
  <c r="M28" i="21"/>
  <c r="N22" i="21"/>
  <c r="M22" i="21"/>
  <c r="U22" i="21"/>
  <c r="N46" i="21"/>
  <c r="M46" i="21"/>
  <c r="U46" i="21"/>
  <c r="U36" i="21"/>
  <c r="M36" i="21"/>
  <c r="U37" i="21"/>
  <c r="M37" i="21"/>
  <c r="U31" i="21"/>
  <c r="M31" i="21"/>
  <c r="U27" i="21"/>
  <c r="M27" i="21"/>
  <c r="N15" i="21"/>
  <c r="M15" i="21"/>
  <c r="U15" i="21"/>
  <c r="U30" i="21"/>
  <c r="M30" i="21"/>
  <c r="M19" i="21"/>
  <c r="O19" i="21" s="1"/>
  <c r="U19" i="21"/>
  <c r="U13" i="21"/>
  <c r="M13" i="21"/>
  <c r="J44" i="21"/>
  <c r="K44" i="21" s="1"/>
  <c r="O44" i="21" l="1"/>
  <c r="O24" i="21"/>
  <c r="Y13" i="21"/>
  <c r="AA13" i="21"/>
  <c r="P30" i="21"/>
  <c r="R30" i="21"/>
  <c r="T30" i="21" s="1"/>
  <c r="S30" i="21"/>
  <c r="O30" i="21"/>
  <c r="Y31" i="21"/>
  <c r="AA31" i="21"/>
  <c r="Y36" i="21"/>
  <c r="AA36" i="21"/>
  <c r="S35" i="21"/>
  <c r="O35" i="21"/>
  <c r="R35" i="21"/>
  <c r="T35" i="21" s="1"/>
  <c r="P35" i="21"/>
  <c r="S39" i="21"/>
  <c r="O39" i="21"/>
  <c r="R39" i="21"/>
  <c r="T39" i="21" s="1"/>
  <c r="P39" i="21"/>
  <c r="S11" i="21"/>
  <c r="R11" i="21"/>
  <c r="T11" i="21" s="1"/>
  <c r="O11" i="21"/>
  <c r="P11" i="21"/>
  <c r="O47" i="21"/>
  <c r="R47" i="21"/>
  <c r="T47" i="21" s="1"/>
  <c r="S47" i="21"/>
  <c r="P47" i="21"/>
  <c r="Y14" i="21"/>
  <c r="AA14" i="21"/>
  <c r="S29" i="21"/>
  <c r="R29" i="21"/>
  <c r="T29" i="21" s="1"/>
  <c r="O29" i="21"/>
  <c r="P29" i="21"/>
  <c r="S45" i="21"/>
  <c r="O45" i="21"/>
  <c r="R45" i="21"/>
  <c r="T45" i="21" s="1"/>
  <c r="P45" i="21"/>
  <c r="R24" i="21"/>
  <c r="T24" i="21" s="1"/>
  <c r="S24" i="21"/>
  <c r="P24" i="21"/>
  <c r="Y12" i="21"/>
  <c r="AA12" i="21"/>
  <c r="R20" i="21"/>
  <c r="T20" i="21" s="1"/>
  <c r="S20" i="21"/>
  <c r="O20" i="21"/>
  <c r="P20" i="21"/>
  <c r="R16" i="21"/>
  <c r="T16" i="21" s="1"/>
  <c r="S16" i="21"/>
  <c r="O16" i="21"/>
  <c r="P16" i="21"/>
  <c r="P32" i="21"/>
  <c r="O32" i="21"/>
  <c r="S32" i="21"/>
  <c r="R32" i="21"/>
  <c r="T32" i="21" s="1"/>
  <c r="R44" i="21"/>
  <c r="T44" i="21" s="1"/>
  <c r="S44" i="21"/>
  <c r="P44" i="21"/>
  <c r="Y19" i="21"/>
  <c r="AA19" i="21"/>
  <c r="Y30" i="21"/>
  <c r="AA30" i="21"/>
  <c r="S27" i="21"/>
  <c r="O27" i="21"/>
  <c r="R27" i="21"/>
  <c r="T27" i="21" s="1"/>
  <c r="P27" i="21"/>
  <c r="P37" i="21"/>
  <c r="R37" i="21"/>
  <c r="T37" i="21" s="1"/>
  <c r="S37" i="21"/>
  <c r="O37" i="21"/>
  <c r="Y46" i="21"/>
  <c r="AA46" i="21"/>
  <c r="Y48" i="21"/>
  <c r="AA48" i="21"/>
  <c r="Y35" i="21"/>
  <c r="AA35" i="21"/>
  <c r="Y39" i="21"/>
  <c r="AA39" i="21"/>
  <c r="Y11" i="21"/>
  <c r="AA11" i="21"/>
  <c r="Y47" i="21"/>
  <c r="AA47" i="21"/>
  <c r="S38" i="21"/>
  <c r="O38" i="21"/>
  <c r="R38" i="21"/>
  <c r="T38" i="21" s="1"/>
  <c r="P38" i="21"/>
  <c r="Y29" i="21"/>
  <c r="AA29" i="21"/>
  <c r="Y45" i="21"/>
  <c r="AA45" i="21"/>
  <c r="Y16" i="21"/>
  <c r="AA16" i="21"/>
  <c r="Y32" i="21"/>
  <c r="AA32" i="21"/>
  <c r="P19" i="21"/>
  <c r="R19" i="21"/>
  <c r="T19" i="21" s="1"/>
  <c r="S19" i="21"/>
  <c r="Y15" i="21"/>
  <c r="AA15" i="21"/>
  <c r="Y27" i="21"/>
  <c r="AA27" i="21"/>
  <c r="Y37" i="21"/>
  <c r="AA37" i="21"/>
  <c r="Y22" i="21"/>
  <c r="AA22" i="21"/>
  <c r="P28" i="21"/>
  <c r="R28" i="21"/>
  <c r="T28" i="21" s="1"/>
  <c r="O28" i="21"/>
  <c r="S28" i="21"/>
  <c r="R48" i="21"/>
  <c r="T48" i="21" s="1"/>
  <c r="S48" i="21"/>
  <c r="P48" i="21"/>
  <c r="Y23" i="21"/>
  <c r="AA23" i="21"/>
  <c r="S40" i="21"/>
  <c r="R40" i="21"/>
  <c r="T40" i="21" s="1"/>
  <c r="O40" i="21"/>
  <c r="P40" i="21"/>
  <c r="R43" i="21"/>
  <c r="T43" i="21" s="1"/>
  <c r="S43" i="21"/>
  <c r="O43" i="21"/>
  <c r="P43" i="21"/>
  <c r="S21" i="21"/>
  <c r="O21" i="21"/>
  <c r="R21" i="21"/>
  <c r="T21" i="21" s="1"/>
  <c r="P21" i="21"/>
  <c r="Y38" i="21"/>
  <c r="AA38" i="21"/>
  <c r="Y20" i="21"/>
  <c r="AA20" i="21"/>
  <c r="S13" i="21"/>
  <c r="R13" i="21"/>
  <c r="T13" i="21" s="1"/>
  <c r="O13" i="21"/>
  <c r="P13" i="21"/>
  <c r="S15" i="21"/>
  <c r="O15" i="21"/>
  <c r="R15" i="21"/>
  <c r="T15" i="21" s="1"/>
  <c r="P15" i="21"/>
  <c r="O31" i="21"/>
  <c r="S31" i="21"/>
  <c r="R31" i="21"/>
  <c r="T31" i="21" s="1"/>
  <c r="P31" i="21"/>
  <c r="S36" i="21"/>
  <c r="O36" i="21"/>
  <c r="R36" i="21"/>
  <c r="T36" i="21" s="1"/>
  <c r="P36" i="21"/>
  <c r="R46" i="21"/>
  <c r="T46" i="21" s="1"/>
  <c r="O46" i="21"/>
  <c r="S46" i="21"/>
  <c r="P46" i="21"/>
  <c r="R22" i="21"/>
  <c r="T22" i="21" s="1"/>
  <c r="O22" i="21"/>
  <c r="S22" i="21"/>
  <c r="P22" i="21"/>
  <c r="Y28" i="21"/>
  <c r="AA28" i="21"/>
  <c r="O48" i="21"/>
  <c r="P23" i="21"/>
  <c r="S23" i="21"/>
  <c r="R23" i="21"/>
  <c r="T23" i="21" s="1"/>
  <c r="Y40" i="21"/>
  <c r="AA40" i="21"/>
  <c r="Y43" i="21"/>
  <c r="AA43" i="21"/>
  <c r="R14" i="21"/>
  <c r="T14" i="21" s="1"/>
  <c r="S14" i="21"/>
  <c r="O14" i="21"/>
  <c r="P14" i="21"/>
  <c r="Y21" i="21"/>
  <c r="AA21" i="21"/>
  <c r="O23" i="21"/>
  <c r="Y24" i="21"/>
  <c r="AA24" i="21"/>
  <c r="R12" i="21"/>
  <c r="T12" i="21" s="1"/>
  <c r="S12" i="21"/>
  <c r="O12" i="21"/>
  <c r="P12" i="21"/>
  <c r="Y44" i="21"/>
  <c r="AA44" i="21"/>
  <c r="Z12" i="21" l="1"/>
  <c r="X12" i="21"/>
  <c r="W14" i="21"/>
  <c r="V14" i="21"/>
  <c r="Z48" i="21"/>
  <c r="X48" i="21"/>
  <c r="W32" i="21"/>
  <c r="V32" i="21"/>
  <c r="Z47" i="21"/>
  <c r="X47" i="21"/>
  <c r="Z11" i="21"/>
  <c r="X11" i="21"/>
  <c r="Z30" i="21"/>
  <c r="X30" i="21"/>
  <c r="Z14" i="21"/>
  <c r="X14" i="21"/>
  <c r="V22" i="21"/>
  <c r="W22" i="21"/>
  <c r="V46" i="21"/>
  <c r="W46" i="21"/>
  <c r="Z36" i="21"/>
  <c r="X36" i="21"/>
  <c r="Z31" i="21"/>
  <c r="X31" i="21"/>
  <c r="Z15" i="21"/>
  <c r="X15" i="21"/>
  <c r="Z21" i="21"/>
  <c r="X21" i="21"/>
  <c r="W28" i="21"/>
  <c r="V28" i="21"/>
  <c r="W19" i="21"/>
  <c r="V19" i="21"/>
  <c r="Z38" i="21"/>
  <c r="X38" i="21"/>
  <c r="V37" i="21"/>
  <c r="W37" i="21"/>
  <c r="Z27" i="21"/>
  <c r="X27" i="21"/>
  <c r="V44" i="21"/>
  <c r="W44" i="21"/>
  <c r="V16" i="21"/>
  <c r="W16" i="21"/>
  <c r="V20" i="21"/>
  <c r="W20" i="21"/>
  <c r="Z45" i="21"/>
  <c r="X45" i="21"/>
  <c r="V11" i="21"/>
  <c r="W11" i="21"/>
  <c r="V39" i="21"/>
  <c r="W39" i="21"/>
  <c r="W35" i="21"/>
  <c r="V35" i="21"/>
  <c r="Z23" i="21"/>
  <c r="X23" i="21"/>
  <c r="V31" i="21"/>
  <c r="W31" i="21"/>
  <c r="Z13" i="21"/>
  <c r="X13" i="21"/>
  <c r="V43" i="21"/>
  <c r="W43" i="21"/>
  <c r="Z40" i="21"/>
  <c r="X40" i="21"/>
  <c r="Z19" i="21"/>
  <c r="X19" i="21"/>
  <c r="Z37" i="21"/>
  <c r="X37" i="21"/>
  <c r="Z44" i="21"/>
  <c r="X44" i="21"/>
  <c r="Z16" i="21"/>
  <c r="X16" i="21"/>
  <c r="Z20" i="21"/>
  <c r="X20" i="21"/>
  <c r="V24" i="21"/>
  <c r="W24" i="21"/>
  <c r="Z29" i="21"/>
  <c r="X29" i="21"/>
  <c r="V12" i="21"/>
  <c r="W12" i="21"/>
  <c r="W23" i="21"/>
  <c r="V23" i="21"/>
  <c r="Z22" i="21"/>
  <c r="X22" i="21"/>
  <c r="Z46" i="21"/>
  <c r="X46" i="21"/>
  <c r="W36" i="21"/>
  <c r="V36" i="21"/>
  <c r="V15" i="21"/>
  <c r="W15" i="21"/>
  <c r="V13" i="21"/>
  <c r="W13" i="21"/>
  <c r="W21" i="21"/>
  <c r="V21" i="21"/>
  <c r="Z43" i="21"/>
  <c r="X43" i="21"/>
  <c r="V40" i="21"/>
  <c r="W40" i="21"/>
  <c r="V48" i="21"/>
  <c r="W48" i="21"/>
  <c r="Z28" i="21"/>
  <c r="X28" i="21"/>
  <c r="V38" i="21"/>
  <c r="W38" i="21"/>
  <c r="V27" i="21"/>
  <c r="W27" i="21"/>
  <c r="Z32" i="21"/>
  <c r="X32" i="21"/>
  <c r="Z24" i="21"/>
  <c r="X24" i="21"/>
  <c r="V45" i="21"/>
  <c r="W45" i="21"/>
  <c r="W29" i="21"/>
  <c r="V29" i="21"/>
  <c r="W47" i="21"/>
  <c r="V47" i="21"/>
  <c r="Z39" i="21"/>
  <c r="X39" i="21"/>
  <c r="Z35" i="21"/>
  <c r="X35" i="21"/>
  <c r="W30" i="21"/>
  <c r="V30" i="21"/>
  <c r="E48" i="20" l="1"/>
  <c r="E47" i="20"/>
  <c r="S7" i="20" s="1"/>
  <c r="J47" i="20" s="1"/>
  <c r="K47" i="20" s="1"/>
  <c r="E46" i="20"/>
  <c r="E45" i="20"/>
  <c r="E44" i="20"/>
  <c r="S4" i="20" s="1"/>
  <c r="J44" i="20" s="1"/>
  <c r="K44" i="20" s="1"/>
  <c r="E40" i="20"/>
  <c r="E39" i="20"/>
  <c r="E38" i="20"/>
  <c r="E37" i="20"/>
  <c r="E36" i="20"/>
  <c r="E32" i="20"/>
  <c r="E31" i="20"/>
  <c r="E30" i="20"/>
  <c r="E29" i="20"/>
  <c r="E28" i="20"/>
  <c r="E24" i="20"/>
  <c r="E23" i="20"/>
  <c r="E22" i="20"/>
  <c r="E21" i="20"/>
  <c r="E20" i="20"/>
  <c r="E12" i="20"/>
  <c r="C4" i="20" s="1"/>
  <c r="E13" i="20"/>
  <c r="C5" i="20" s="1"/>
  <c r="E14" i="20"/>
  <c r="C6" i="20" s="1"/>
  <c r="E15" i="20"/>
  <c r="E16" i="20"/>
  <c r="C8" i="20" s="1"/>
  <c r="C7" i="20" l="1"/>
  <c r="J15" i="20" s="1"/>
  <c r="K15" i="20" s="1"/>
  <c r="S5" i="20"/>
  <c r="J45" i="20" s="1"/>
  <c r="K45" i="20" s="1"/>
  <c r="S8" i="20"/>
  <c r="J48" i="20" s="1"/>
  <c r="K48" i="20" s="1"/>
  <c r="S6" i="20"/>
  <c r="J46" i="20" s="1"/>
  <c r="K46" i="20" s="1"/>
  <c r="Q48" i="20"/>
  <c r="Q47" i="20"/>
  <c r="Q46" i="20"/>
  <c r="Q45" i="20"/>
  <c r="Q44" i="20"/>
  <c r="Q43" i="20"/>
  <c r="I43" i="20"/>
  <c r="J12" i="20"/>
  <c r="K12" i="20" s="1"/>
  <c r="J13" i="20"/>
  <c r="K13" i="20" s="1"/>
  <c r="J14" i="20"/>
  <c r="K14" i="20" s="1"/>
  <c r="J16" i="20"/>
  <c r="K16" i="20" s="1"/>
  <c r="Q16" i="20"/>
  <c r="Q15" i="20"/>
  <c r="Q14" i="20"/>
  <c r="Q13" i="20"/>
  <c r="Q12" i="20"/>
  <c r="Q11" i="20"/>
  <c r="U11" i="20" s="1"/>
  <c r="I11" i="20"/>
  <c r="Y11" i="20" l="1"/>
  <c r="AA11" i="20"/>
  <c r="M16" i="20"/>
  <c r="N16" i="20"/>
  <c r="M44" i="20"/>
  <c r="R44" i="20" s="1"/>
  <c r="N44" i="20"/>
  <c r="M48" i="20"/>
  <c r="R48" i="20" s="1"/>
  <c r="N48" i="20"/>
  <c r="M13" i="20"/>
  <c r="N13" i="20"/>
  <c r="M45" i="20"/>
  <c r="R45" i="20" s="1"/>
  <c r="T45" i="20" s="1"/>
  <c r="Z45" i="20" s="1"/>
  <c r="N45" i="20"/>
  <c r="M11" i="20"/>
  <c r="S11" i="20" s="1"/>
  <c r="N11" i="20"/>
  <c r="N14" i="20"/>
  <c r="M14" i="20"/>
  <c r="M46" i="20"/>
  <c r="R46" i="20" s="1"/>
  <c r="N46" i="20"/>
  <c r="N15" i="20"/>
  <c r="M15" i="20"/>
  <c r="S15" i="20" s="1"/>
  <c r="U43" i="20"/>
  <c r="AA43" i="20" s="1"/>
  <c r="M43" i="20"/>
  <c r="R43" i="20" s="1"/>
  <c r="N43" i="20"/>
  <c r="M47" i="20"/>
  <c r="R47" i="20" s="1"/>
  <c r="N47" i="20"/>
  <c r="N12" i="20"/>
  <c r="M12" i="20"/>
  <c r="E11" i="20"/>
  <c r="U13" i="20"/>
  <c r="AA13" i="20" s="1"/>
  <c r="U44" i="20"/>
  <c r="U46" i="20"/>
  <c r="U14" i="20"/>
  <c r="U47" i="20"/>
  <c r="U15" i="20"/>
  <c r="U48" i="20"/>
  <c r="E43" i="20"/>
  <c r="S3" i="20" s="1"/>
  <c r="U12" i="20"/>
  <c r="U45" i="20"/>
  <c r="AA45" i="20" s="1"/>
  <c r="U16" i="20"/>
  <c r="Y13" i="20" l="1"/>
  <c r="S45" i="20"/>
  <c r="Y43" i="20"/>
  <c r="Y45" i="20"/>
  <c r="O45" i="20"/>
  <c r="P45" i="20"/>
  <c r="O11" i="20"/>
  <c r="O15" i="20"/>
  <c r="R15" i="20"/>
  <c r="T15" i="20" s="1"/>
  <c r="Z15" i="20" s="1"/>
  <c r="P15" i="20"/>
  <c r="R14" i="20"/>
  <c r="T14" i="20" s="1"/>
  <c r="Z14" i="20" s="1"/>
  <c r="P14" i="20"/>
  <c r="Y12" i="20"/>
  <c r="AA12" i="20"/>
  <c r="Y15" i="20"/>
  <c r="AA15" i="20"/>
  <c r="Y46" i="20"/>
  <c r="AA46" i="20"/>
  <c r="R12" i="20"/>
  <c r="T12" i="20" s="1"/>
  <c r="Z12" i="20" s="1"/>
  <c r="P12" i="20"/>
  <c r="R16" i="20"/>
  <c r="T16" i="20" s="1"/>
  <c r="Z16" i="20" s="1"/>
  <c r="P16" i="20"/>
  <c r="Y16" i="20"/>
  <c r="AA16" i="20"/>
  <c r="Y47" i="20"/>
  <c r="AA47" i="20"/>
  <c r="Y44" i="20"/>
  <c r="AA44" i="20"/>
  <c r="Y48" i="20"/>
  <c r="AA48" i="20"/>
  <c r="Y14" i="20"/>
  <c r="AA14" i="20"/>
  <c r="R11" i="20"/>
  <c r="T11" i="20" s="1"/>
  <c r="Z11" i="20" s="1"/>
  <c r="P11" i="20"/>
  <c r="R13" i="20"/>
  <c r="T13" i="20" s="1"/>
  <c r="Z13" i="20" s="1"/>
  <c r="P13" i="20"/>
  <c r="J43" i="20"/>
  <c r="C3" i="20"/>
  <c r="J11" i="20" s="1"/>
  <c r="O12" i="20"/>
  <c r="X45" i="20"/>
  <c r="O14" i="20"/>
  <c r="O16" i="20"/>
  <c r="O13" i="20"/>
  <c r="P46" i="20"/>
  <c r="O46" i="20"/>
  <c r="T48" i="20"/>
  <c r="Z48" i="20" s="1"/>
  <c r="P48" i="20"/>
  <c r="O48" i="20"/>
  <c r="P47" i="20"/>
  <c r="O47" i="20"/>
  <c r="S48" i="20"/>
  <c r="W48" i="20" s="1"/>
  <c r="T44" i="20"/>
  <c r="Z44" i="20" s="1"/>
  <c r="P44" i="20"/>
  <c r="O44" i="20"/>
  <c r="P43" i="20"/>
  <c r="O43" i="20"/>
  <c r="S44" i="20"/>
  <c r="W44" i="20" s="1"/>
  <c r="S13" i="20"/>
  <c r="T46" i="20"/>
  <c r="Z46" i="20" s="1"/>
  <c r="S46" i="20"/>
  <c r="V45" i="20"/>
  <c r="W45" i="20"/>
  <c r="T47" i="20"/>
  <c r="Z47" i="20" s="1"/>
  <c r="S47" i="20"/>
  <c r="V15" i="20"/>
  <c r="S16" i="20"/>
  <c r="T43" i="20"/>
  <c r="Z43" i="20" s="1"/>
  <c r="S43" i="20"/>
  <c r="V11" i="20"/>
  <c r="S14" i="20"/>
  <c r="S12" i="20"/>
  <c r="J19" i="20"/>
  <c r="K19" i="20" s="1"/>
  <c r="J20" i="20"/>
  <c r="K20" i="20" s="1"/>
  <c r="J21" i="20"/>
  <c r="K21" i="20" s="1"/>
  <c r="J22" i="20"/>
  <c r="K22" i="20" s="1"/>
  <c r="J23" i="20"/>
  <c r="K23" i="20" s="1"/>
  <c r="J27" i="20"/>
  <c r="K27" i="20" s="1"/>
  <c r="J28" i="20"/>
  <c r="K28" i="20" s="1"/>
  <c r="J29" i="20"/>
  <c r="K29" i="20" s="1"/>
  <c r="J30" i="20"/>
  <c r="K30" i="20" s="1"/>
  <c r="J31" i="20"/>
  <c r="K31" i="20" s="1"/>
  <c r="J35" i="20"/>
  <c r="K35" i="20" s="1"/>
  <c r="J36" i="20"/>
  <c r="K36" i="20" s="1"/>
  <c r="J37" i="20"/>
  <c r="K37" i="20" s="1"/>
  <c r="J38" i="20"/>
  <c r="K38" i="20" s="1"/>
  <c r="J39" i="20"/>
  <c r="K39" i="20" s="1"/>
  <c r="V44" i="20" l="1"/>
  <c r="W15" i="20"/>
  <c r="W11" i="20"/>
  <c r="X15" i="20"/>
  <c r="X11" i="20"/>
  <c r="K43" i="20"/>
  <c r="K11" i="20"/>
  <c r="V48" i="20"/>
  <c r="X48" i="20"/>
  <c r="X47" i="20"/>
  <c r="X44" i="20"/>
  <c r="X46" i="20"/>
  <c r="X43" i="20"/>
  <c r="X14" i="20"/>
  <c r="X12" i="20"/>
  <c r="X16" i="20"/>
  <c r="X13" i="20"/>
  <c r="V12" i="20"/>
  <c r="W12" i="20"/>
  <c r="V16" i="20"/>
  <c r="W16" i="20"/>
  <c r="W46" i="20"/>
  <c r="V46" i="20"/>
  <c r="W14" i="20"/>
  <c r="V14" i="20"/>
  <c r="W43" i="20"/>
  <c r="V43" i="20"/>
  <c r="W47" i="20"/>
  <c r="V47" i="20"/>
  <c r="W13" i="20"/>
  <c r="V13" i="20"/>
  <c r="J40" i="20"/>
  <c r="K40" i="20" s="1"/>
  <c r="I35" i="20"/>
  <c r="K8" i="20"/>
  <c r="J32" i="20" s="1"/>
  <c r="K32" i="20" s="1"/>
  <c r="Q40" i="20"/>
  <c r="Q32" i="20"/>
  <c r="J24" i="20"/>
  <c r="K24" i="20" s="1"/>
  <c r="Q24" i="20"/>
  <c r="M32" i="20" l="1"/>
  <c r="R32" i="20" s="1"/>
  <c r="T32" i="20" s="1"/>
  <c r="N32" i="20"/>
  <c r="O32" i="20" s="1"/>
  <c r="M40" i="20"/>
  <c r="R40" i="20" s="1"/>
  <c r="T40" i="20" s="1"/>
  <c r="N40" i="20"/>
  <c r="M24" i="20"/>
  <c r="R24" i="20" s="1"/>
  <c r="T24" i="20" s="1"/>
  <c r="Z24" i="20" s="1"/>
  <c r="N24" i="20"/>
  <c r="E35" i="20"/>
  <c r="U40" i="20"/>
  <c r="AA40" i="20" s="1"/>
  <c r="U32" i="20"/>
  <c r="AA32" i="20" s="1"/>
  <c r="U24" i="20"/>
  <c r="AA24" i="20" s="1"/>
  <c r="Q39" i="20"/>
  <c r="Q38" i="20"/>
  <c r="Q37" i="20"/>
  <c r="Q36" i="20"/>
  <c r="Q35" i="20"/>
  <c r="Q31" i="20"/>
  <c r="Q30" i="20"/>
  <c r="Q29" i="20"/>
  <c r="Q28" i="20"/>
  <c r="Q27" i="20"/>
  <c r="I27" i="20"/>
  <c r="Q20" i="20"/>
  <c r="Q21" i="20"/>
  <c r="Q22" i="20"/>
  <c r="Q23" i="20"/>
  <c r="Q19" i="20"/>
  <c r="I19" i="20"/>
  <c r="S32" i="20" l="1"/>
  <c r="V32" i="20" s="1"/>
  <c r="S40" i="20"/>
  <c r="W40" i="20" s="1"/>
  <c r="P32" i="20"/>
  <c r="P24" i="20"/>
  <c r="X40" i="20"/>
  <c r="Z40" i="20"/>
  <c r="X32" i="20"/>
  <c r="Z32" i="20"/>
  <c r="P40" i="20"/>
  <c r="M27" i="20"/>
  <c r="R27" i="20" s="1"/>
  <c r="N27" i="20"/>
  <c r="M22" i="20"/>
  <c r="R22" i="20" s="1"/>
  <c r="N22" i="20"/>
  <c r="M28" i="20"/>
  <c r="R28" i="20" s="1"/>
  <c r="T28" i="20" s="1"/>
  <c r="N28" i="20"/>
  <c r="M38" i="20"/>
  <c r="R38" i="20" s="1"/>
  <c r="N38" i="20"/>
  <c r="M35" i="20"/>
  <c r="R35" i="20" s="1"/>
  <c r="N35" i="20"/>
  <c r="M19" i="20"/>
  <c r="R19" i="20" s="1"/>
  <c r="N19" i="20"/>
  <c r="M20" i="20"/>
  <c r="R20" i="20" s="1"/>
  <c r="N20" i="20"/>
  <c r="M29" i="20"/>
  <c r="R29" i="20" s="1"/>
  <c r="N29" i="20"/>
  <c r="M36" i="20"/>
  <c r="R36" i="20" s="1"/>
  <c r="T36" i="20" s="1"/>
  <c r="N36" i="20"/>
  <c r="M31" i="20"/>
  <c r="R31" i="20" s="1"/>
  <c r="N31" i="20"/>
  <c r="M21" i="20"/>
  <c r="R21" i="20" s="1"/>
  <c r="T21" i="20" s="1"/>
  <c r="N21" i="20"/>
  <c r="M39" i="20"/>
  <c r="R39" i="20" s="1"/>
  <c r="N39" i="20"/>
  <c r="M23" i="20"/>
  <c r="R23" i="20" s="1"/>
  <c r="T23" i="20" s="1"/>
  <c r="N23" i="20"/>
  <c r="M30" i="20"/>
  <c r="R30" i="20" s="1"/>
  <c r="N30" i="20"/>
  <c r="M37" i="20"/>
  <c r="R37" i="20" s="1"/>
  <c r="N37" i="20"/>
  <c r="X24" i="20"/>
  <c r="O24" i="20"/>
  <c r="S24" i="20"/>
  <c r="V24" i="20" s="1"/>
  <c r="E27" i="20"/>
  <c r="O40" i="20"/>
  <c r="E19" i="20"/>
  <c r="W32" i="20"/>
  <c r="Y24" i="20"/>
  <c r="U19" i="20"/>
  <c r="AA19" i="20" s="1"/>
  <c r="U20" i="20"/>
  <c r="AA20" i="20" s="1"/>
  <c r="U28" i="20"/>
  <c r="AA28" i="20" s="1"/>
  <c r="U30" i="20"/>
  <c r="AA30" i="20" s="1"/>
  <c r="U37" i="20"/>
  <c r="U39" i="20"/>
  <c r="AA39" i="20" s="1"/>
  <c r="U27" i="20"/>
  <c r="AA27" i="20" s="1"/>
  <c r="Y32" i="20"/>
  <c r="U22" i="20"/>
  <c r="AA22" i="20" s="1"/>
  <c r="U21" i="20"/>
  <c r="AA21" i="20" s="1"/>
  <c r="U29" i="20"/>
  <c r="AA29" i="20" s="1"/>
  <c r="U31" i="20"/>
  <c r="AA31" i="20" s="1"/>
  <c r="Y40" i="20"/>
  <c r="U23" i="20"/>
  <c r="AA23" i="20" s="1"/>
  <c r="U36" i="20"/>
  <c r="AA36" i="20" s="1"/>
  <c r="U38" i="20"/>
  <c r="AA38" i="20" s="1"/>
  <c r="U35" i="20"/>
  <c r="AA35" i="20" s="1"/>
  <c r="S35" i="20" l="1"/>
  <c r="V35" i="20" s="1"/>
  <c r="P21" i="20"/>
  <c r="V40" i="20"/>
  <c r="S28" i="20"/>
  <c r="V28" i="20" s="1"/>
  <c r="S36" i="20"/>
  <c r="V36" i="20" s="1"/>
  <c r="P28" i="20"/>
  <c r="S23" i="20"/>
  <c r="V23" i="20" s="1"/>
  <c r="P23" i="20"/>
  <c r="S21" i="20"/>
  <c r="W21" i="20" s="1"/>
  <c r="P35" i="20"/>
  <c r="P36" i="20"/>
  <c r="O23" i="20"/>
  <c r="O36" i="20"/>
  <c r="O35" i="20"/>
  <c r="O28" i="20"/>
  <c r="Y37" i="20"/>
  <c r="AA37" i="20"/>
  <c r="X36" i="20"/>
  <c r="Z36" i="20"/>
  <c r="X28" i="20"/>
  <c r="Z28" i="20"/>
  <c r="X23" i="20"/>
  <c r="Z23" i="20"/>
  <c r="X21" i="20"/>
  <c r="Z21" i="20"/>
  <c r="S38" i="20"/>
  <c r="V38" i="20" s="1"/>
  <c r="W24" i="20"/>
  <c r="P38" i="20"/>
  <c r="O38" i="20"/>
  <c r="T35" i="20"/>
  <c r="Z35" i="20" s="1"/>
  <c r="T38" i="20"/>
  <c r="O21" i="20"/>
  <c r="P22" i="20"/>
  <c r="O22" i="20"/>
  <c r="P20" i="20"/>
  <c r="O20" i="20"/>
  <c r="P29" i="20"/>
  <c r="O29" i="20"/>
  <c r="P39" i="20"/>
  <c r="O39" i="20"/>
  <c r="P30" i="20"/>
  <c r="O30" i="20"/>
  <c r="P19" i="20"/>
  <c r="O19" i="20"/>
  <c r="P31" i="20"/>
  <c r="O31" i="20"/>
  <c r="P27" i="20"/>
  <c r="O27" i="20"/>
  <c r="P37" i="20"/>
  <c r="O37" i="20"/>
  <c r="T31" i="20"/>
  <c r="Z31" i="20" s="1"/>
  <c r="S31" i="20"/>
  <c r="T27" i="20"/>
  <c r="Z27" i="20" s="1"/>
  <c r="S27" i="20"/>
  <c r="T22" i="20"/>
  <c r="S22" i="20"/>
  <c r="T20" i="20"/>
  <c r="S20" i="20"/>
  <c r="W23" i="20"/>
  <c r="T30" i="20"/>
  <c r="Z30" i="20" s="1"/>
  <c r="S30" i="20"/>
  <c r="T29" i="20"/>
  <c r="Z29" i="20" s="1"/>
  <c r="S29" i="20"/>
  <c r="T39" i="20"/>
  <c r="Z39" i="20" s="1"/>
  <c r="S39" i="20"/>
  <c r="T19" i="20"/>
  <c r="S19" i="20"/>
  <c r="T37" i="20"/>
  <c r="Z37" i="20" s="1"/>
  <c r="S37" i="20"/>
  <c r="Y39" i="20"/>
  <c r="Y29" i="20"/>
  <c r="Y19" i="20"/>
  <c r="Y21" i="20"/>
  <c r="Y20" i="20"/>
  <c r="Y22" i="20"/>
  <c r="Y27" i="20"/>
  <c r="Y28" i="20"/>
  <c r="Y35" i="20"/>
  <c r="Y23" i="20"/>
  <c r="Y31" i="20"/>
  <c r="Y30" i="20"/>
  <c r="Y36" i="20"/>
  <c r="Y38" i="20"/>
  <c r="W35" i="20" l="1"/>
  <c r="W28" i="20"/>
  <c r="W36" i="20"/>
  <c r="V21" i="20"/>
  <c r="W38" i="20"/>
  <c r="X19" i="20"/>
  <c r="Z19" i="20"/>
  <c r="X22" i="20"/>
  <c r="Z22" i="20"/>
  <c r="X38" i="20"/>
  <c r="Z38" i="20"/>
  <c r="X20" i="20"/>
  <c r="Z20" i="20"/>
  <c r="X37" i="20"/>
  <c r="X39" i="20"/>
  <c r="X35" i="20"/>
  <c r="X29" i="20"/>
  <c r="X30" i="20"/>
  <c r="X31" i="20"/>
  <c r="X27" i="20"/>
  <c r="W37" i="20"/>
  <c r="V37" i="20"/>
  <c r="V39" i="20"/>
  <c r="W39" i="20"/>
  <c r="W20" i="20"/>
  <c r="V20" i="20"/>
  <c r="W27" i="20"/>
  <c r="V27" i="20"/>
  <c r="V19" i="20"/>
  <c r="W19" i="20"/>
  <c r="V29" i="20"/>
  <c r="W29" i="20"/>
  <c r="W30" i="20"/>
  <c r="V30" i="20"/>
  <c r="V22" i="20"/>
  <c r="W22" i="20"/>
  <c r="W31" i="20"/>
  <c r="V31" i="20"/>
</calcChain>
</file>

<file path=xl/sharedStrings.xml><?xml version="1.0" encoding="utf-8"?>
<sst xmlns="http://schemas.openxmlformats.org/spreadsheetml/2006/main" count="302" uniqueCount="35">
  <si>
    <t>AspectRatio</t>
  </si>
  <si>
    <t>FinalDistance</t>
  </si>
  <si>
    <t>FinalHeight</t>
  </si>
  <si>
    <t>Bn = 0.01 (3D)</t>
  </si>
  <si>
    <t>Bn = 0.03 (3D)</t>
  </si>
  <si>
    <t>Bn = 0.1 (3D)</t>
  </si>
  <si>
    <t>Ga</t>
  </si>
  <si>
    <t>Bn</t>
  </si>
  <si>
    <r>
      <t>h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/r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</si>
  <si>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rPr>
        <b/>
        <sz val="11"/>
        <color theme="1"/>
        <rFont val="Symbol"/>
        <family val="1"/>
        <charset val="2"/>
      </rPr>
      <t>r</t>
    </r>
    <r>
      <rPr>
        <b/>
        <sz val="11"/>
        <color theme="1"/>
        <rFont val="Calibri"/>
        <family val="2"/>
        <scheme val="minor"/>
      </rPr>
      <t>*g*h</t>
    </r>
    <r>
      <rPr>
        <b/>
        <vertAlign val="subscript"/>
        <sz val="11"/>
        <color theme="1"/>
        <rFont val="Calibri"/>
        <family val="2"/>
        <scheme val="minor"/>
      </rPr>
      <t xml:space="preserve">0 </t>
    </r>
    <r>
      <rPr>
        <b/>
        <sz val="11"/>
        <color theme="1"/>
        <rFont val="Calibri"/>
        <family val="2"/>
        <scheme val="minor"/>
      </rPr>
      <t>[Pa]</t>
    </r>
  </si>
  <si>
    <r>
      <rPr>
        <b/>
        <sz val="11"/>
        <color theme="1"/>
        <rFont val="Symbol"/>
        <family val="1"/>
        <charset val="2"/>
      </rPr>
      <t>t</t>
    </r>
    <r>
      <rPr>
        <b/>
        <vertAlign val="subscript"/>
        <sz val="11"/>
        <color theme="1"/>
        <rFont val="Calibri"/>
        <family val="2"/>
        <scheme val="minor"/>
      </rPr>
      <t xml:space="preserve">0 </t>
    </r>
    <r>
      <rPr>
        <b/>
        <sz val="11"/>
        <color theme="1"/>
        <rFont val="Calibri"/>
        <family val="2"/>
        <scheme val="minor"/>
      </rPr>
      <t>[Pa]</t>
    </r>
  </si>
  <si>
    <r>
      <t>[(1/Bn)*(h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/r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)]</t>
    </r>
    <r>
      <rPr>
        <b/>
        <vertAlign val="superscript"/>
        <sz val="11"/>
        <color theme="1"/>
        <rFont val="Calibri"/>
        <family val="2"/>
        <scheme val="minor"/>
      </rPr>
      <t>1/3</t>
    </r>
  </si>
  <si>
    <t>g [m/s²]</t>
  </si>
  <si>
    <t>k [Pa s]</t>
  </si>
  <si>
    <r>
      <rPr>
        <b/>
        <sz val="11"/>
        <color theme="1"/>
        <rFont val="Symbol"/>
        <family val="1"/>
        <charset val="2"/>
      </rPr>
      <t>r</t>
    </r>
    <r>
      <rPr>
        <b/>
        <sz val="11"/>
        <color theme="1"/>
        <rFont val="Calibri"/>
        <family val="2"/>
        <scheme val="minor"/>
      </rPr>
      <t xml:space="preserve"> [kg/m³]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</si>
  <si>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 xml:space="preserve">0 </t>
    </r>
    <r>
      <rPr>
        <b/>
        <sz val="11"/>
        <color theme="1"/>
        <rFont val="Calibri"/>
        <family val="2"/>
        <scheme val="minor"/>
      </rPr>
      <t>[m]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</si>
  <si>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[m/s]</t>
    </r>
  </si>
  <si>
    <t>Bn = 0.3 (3D)</t>
  </si>
  <si>
    <t>Bn = 0.003 (3D)</t>
  </si>
  <si>
    <t>Re</t>
  </si>
  <si>
    <t>Fr</t>
  </si>
  <si>
    <r>
      <rPr>
        <b/>
        <sz val="11"/>
        <color theme="1"/>
        <rFont val="Symbol"/>
        <family val="1"/>
        <charset val="2"/>
      </rPr>
      <t>r</t>
    </r>
    <r>
      <rPr>
        <b/>
        <sz val="11"/>
        <color theme="1"/>
        <rFont val="Calibri"/>
        <family val="2"/>
        <scheme val="minor"/>
      </rPr>
      <t>*U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[Pa]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</si>
  <si>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 xml:space="preserve">0 </t>
    </r>
    <r>
      <rPr>
        <b/>
        <sz val="11"/>
        <color theme="1"/>
        <rFont val="Calibri"/>
        <family val="2"/>
        <scheme val="minor"/>
      </rPr>
      <t>[m]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</si>
  <si>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cr</t>
    </r>
    <r>
      <rPr>
        <b/>
        <sz val="11"/>
        <color theme="1"/>
        <rFont val="Calibri"/>
        <family val="2"/>
        <scheme val="minor"/>
      </rPr>
      <t xml:space="preserve"> [m/s]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</si>
  <si>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/U</t>
    </r>
    <r>
      <rPr>
        <b/>
        <vertAlign val="subscript"/>
        <sz val="11"/>
        <color theme="1"/>
        <rFont val="Calibri"/>
        <family val="2"/>
        <scheme val="minor"/>
      </rPr>
      <t>cr</t>
    </r>
    <r>
      <rPr>
        <b/>
        <sz val="11"/>
        <color theme="1"/>
        <rFont val="Calibri"/>
        <family val="2"/>
        <scheme val="minor"/>
      </rPr>
      <t xml:space="preserve"> [m/s]</t>
    </r>
  </si>
  <si>
    <r>
      <t>t</t>
    </r>
    <r>
      <rPr>
        <b/>
        <vertAlign val="subscript"/>
        <sz val="11"/>
        <color theme="1"/>
        <rFont val="Times New Roman"/>
        <family val="1"/>
      </rPr>
      <t>c</t>
    </r>
    <r>
      <rPr>
        <b/>
        <sz val="11"/>
        <color theme="1"/>
        <rFont val="Times New Roman"/>
        <family val="1"/>
      </rPr>
      <t xml:space="preserve"> [s]</t>
    </r>
  </si>
  <si>
    <t>m</t>
  </si>
  <si>
    <r>
      <t>[Ga*(h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/r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)]</t>
    </r>
    <r>
      <rPr>
        <b/>
        <vertAlign val="superscript"/>
        <sz val="11"/>
        <color theme="1"/>
        <rFont val="Calibri"/>
        <family val="2"/>
        <scheme val="minor"/>
      </rPr>
      <t>1/(2m+3)</t>
    </r>
  </si>
  <si>
    <r>
      <t>k(U/h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perscript"/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 xml:space="preserve"> [Pa]</t>
    </r>
  </si>
  <si>
    <r>
      <t>[(1/Ga)*(1/(h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/r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))]</t>
    </r>
    <r>
      <rPr>
        <b/>
        <vertAlign val="superscript"/>
        <sz val="11"/>
        <color theme="1"/>
        <rFont val="Calibri"/>
        <family val="2"/>
        <scheme val="minor"/>
      </rPr>
      <t>2/(2m+3)</t>
    </r>
  </si>
  <si>
    <r>
      <t>[Bn*(1/(h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/r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))]</t>
    </r>
    <r>
      <rPr>
        <b/>
        <vertAlign val="superscript"/>
        <sz val="11"/>
        <color theme="1"/>
        <rFont val="Calibri"/>
        <family val="2"/>
        <scheme val="minor"/>
      </rPr>
      <t>2/3</t>
    </r>
  </si>
  <si>
    <r>
      <t>r</t>
    </r>
    <r>
      <rPr>
        <b/>
        <vertAlign val="subscript"/>
        <sz val="14"/>
        <color theme="1"/>
        <rFont val="Times New Roman"/>
        <family val="1"/>
      </rPr>
      <t>∞</t>
    </r>
    <r>
      <rPr>
        <b/>
        <sz val="11"/>
        <color theme="1"/>
        <rFont val="Calibri"/>
        <family val="2"/>
        <scheme val="minor"/>
      </rPr>
      <t>/r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</si>
  <si>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r</t>
    </r>
    <r>
      <rPr>
        <b/>
        <vertAlign val="subscript"/>
        <sz val="14"/>
        <color theme="1"/>
        <rFont val="Times New Roman"/>
        <family val="1"/>
      </rPr>
      <t>∞</t>
    </r>
    <r>
      <rPr>
        <b/>
        <sz val="11"/>
        <color theme="1"/>
        <rFont val="Calibri"/>
        <family val="2"/>
        <scheme val="minor"/>
      </rPr>
      <t>/r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- 1</t>
    </r>
  </si>
  <si>
    <r>
      <t>h</t>
    </r>
    <r>
      <rPr>
        <b/>
        <vertAlign val="subscript"/>
        <sz val="14"/>
        <color theme="1"/>
        <rFont val="Times New Roman"/>
        <family val="1"/>
      </rPr>
      <t>∞</t>
    </r>
    <r>
      <rPr>
        <b/>
        <sz val="11"/>
        <color theme="1"/>
        <rFont val="Calibri"/>
        <family val="2"/>
        <scheme val="minor"/>
      </rPr>
      <t>/h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</si>
  <si>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Fit - h</t>
    </r>
    <r>
      <rPr>
        <b/>
        <vertAlign val="subscript"/>
        <sz val="16"/>
        <color theme="1"/>
        <rFont val="Times New Roman"/>
        <family val="1"/>
      </rPr>
      <t>∞</t>
    </r>
    <r>
      <rPr>
        <b/>
        <sz val="11"/>
        <color theme="1"/>
        <rFont val="Calibri"/>
        <family val="2"/>
        <scheme val="minor"/>
      </rPr>
      <t>/h0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</si>
</sst>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"/>
    <numFmt numFmtId="165" formatCode="0.0000000"/>
    <numFmt numFmtId="166" formatCode="0.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b/>
      <vertAlign val="subscript"/>
      <sz val="14"/>
      <color theme="1"/>
      <name val="Times New Roman"/>
      <family val="1"/>
    </font>
    <font>
      <b/>
      <vertAlign val="subscript"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/>
    <xf numFmtId="0" fontId="4" fillId="0" borderId="3" xfId="2" applyFont="1" applyBorder="1"/>
    <xf numFmtId="0" fontId="4" fillId="0" borderId="4" xfId="2" applyFont="1" applyBorder="1"/>
    <xf numFmtId="0" fontId="3" fillId="4" borderId="1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4" fillId="0" borderId="4" xfId="2" applyFont="1" applyFill="1" applyBorder="1"/>
    <xf numFmtId="0" fontId="0" fillId="0" borderId="7" xfId="0" applyBorder="1"/>
    <xf numFmtId="0" fontId="4" fillId="0" borderId="8" xfId="2" applyFont="1" applyFill="1" applyBorder="1"/>
    <xf numFmtId="0" fontId="0" fillId="0" borderId="9" xfId="0" applyBorder="1"/>
    <xf numFmtId="0" fontId="1" fillId="2" borderId="1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/>
    <xf numFmtId="0" fontId="2" fillId="0" borderId="3" xfId="2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2" applyFont="1" applyFill="1" applyBorder="1"/>
    <xf numFmtId="0" fontId="0" fillId="3" borderId="4" xfId="0" applyFill="1" applyBorder="1"/>
    <xf numFmtId="0" fontId="4" fillId="0" borderId="0" xfId="2" applyFont="1" applyBorder="1"/>
    <xf numFmtId="0" fontId="2" fillId="0" borderId="0" xfId="2" applyFont="1" applyFill="1" applyBorder="1"/>
    <xf numFmtId="0" fontId="8" fillId="2" borderId="5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0"/>
    <xf numFmtId="164" fontId="0" fillId="0" borderId="0" xfId="0" applyNumberFormat="1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</cellXfs>
  <cellStyles count="3">
    <cellStyle name="Normal" xfId="0" builtinId="0"/>
    <cellStyle name="Normal_present_work_2D" xfId="1" xr:uid="{00000000-0005-0000-0000-000005000000}"/>
    <cellStyle name="Normal_present_work_3D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11433409281096E-2"/>
          <c:y val="7.3861454999551962E-2"/>
          <c:w val="0.74708077314184085"/>
          <c:h val="0.80541101916249791"/>
        </c:manualLayout>
      </c:layout>
      <c:scatterChart>
        <c:scatterStyle val="smoothMarker"/>
        <c:varyColors val="0"/>
        <c:ser>
          <c:idx val="4"/>
          <c:order val="13"/>
          <c:tx>
            <c:v>fit</c:v>
          </c:tx>
          <c:marker>
            <c:symbol val="none"/>
          </c:marker>
          <c:xVal>
            <c:numRef>
              <c:f>present_work_cylinder_3D!$AC$2:$AC$632</c:f>
              <c:numCache>
                <c:formatCode>General</c:formatCode>
                <c:ptCount val="63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4.7999999999999901</c:v>
                </c:pt>
                <c:pt idx="39">
                  <c:v>4.8999999999999897</c:v>
                </c:pt>
                <c:pt idx="40">
                  <c:v>5</c:v>
                </c:pt>
                <c:pt idx="41">
                  <c:v>5.0999999999999899</c:v>
                </c:pt>
                <c:pt idx="42">
                  <c:v>5.1999999999999904</c:v>
                </c:pt>
                <c:pt idx="43">
                  <c:v>5.2999999999999901</c:v>
                </c:pt>
                <c:pt idx="44">
                  <c:v>5.3999999999999897</c:v>
                </c:pt>
                <c:pt idx="45">
                  <c:v>5.4999999999999902</c:v>
                </c:pt>
                <c:pt idx="46">
                  <c:v>5.5999999999999899</c:v>
                </c:pt>
                <c:pt idx="47">
                  <c:v>5.6999999999999904</c:v>
                </c:pt>
                <c:pt idx="48">
                  <c:v>5.7999999999999901</c:v>
                </c:pt>
                <c:pt idx="49">
                  <c:v>5.8999999999999897</c:v>
                </c:pt>
                <c:pt idx="50">
                  <c:v>5.9999999999999902</c:v>
                </c:pt>
                <c:pt idx="51">
                  <c:v>6.0999999999999899</c:v>
                </c:pt>
                <c:pt idx="52">
                  <c:v>6.1999999999999904</c:v>
                </c:pt>
                <c:pt idx="53">
                  <c:v>6.2999999999999901</c:v>
                </c:pt>
                <c:pt idx="54">
                  <c:v>6.3999999999999897</c:v>
                </c:pt>
                <c:pt idx="55">
                  <c:v>6.4999999999999902</c:v>
                </c:pt>
                <c:pt idx="56">
                  <c:v>6.5999999999999899</c:v>
                </c:pt>
                <c:pt idx="57">
                  <c:v>6.6999999999999904</c:v>
                </c:pt>
                <c:pt idx="58">
                  <c:v>6.7999999999999901</c:v>
                </c:pt>
                <c:pt idx="59">
                  <c:v>6.8999999999999897</c:v>
                </c:pt>
                <c:pt idx="60">
                  <c:v>6.9999999999999902</c:v>
                </c:pt>
                <c:pt idx="61">
                  <c:v>7.0999999999999899</c:v>
                </c:pt>
                <c:pt idx="62">
                  <c:v>7.1999999999999904</c:v>
                </c:pt>
                <c:pt idx="63">
                  <c:v>7.2999999999999901</c:v>
                </c:pt>
                <c:pt idx="64">
                  <c:v>7.3999999999999897</c:v>
                </c:pt>
                <c:pt idx="65">
                  <c:v>7.4999999999999902</c:v>
                </c:pt>
                <c:pt idx="66">
                  <c:v>7.5999999999999899</c:v>
                </c:pt>
                <c:pt idx="67">
                  <c:v>7.6999999999999904</c:v>
                </c:pt>
                <c:pt idx="68">
                  <c:v>7.7999999999999901</c:v>
                </c:pt>
                <c:pt idx="69">
                  <c:v>7.8999999999999897</c:v>
                </c:pt>
                <c:pt idx="70">
                  <c:v>7.9999999999999902</c:v>
                </c:pt>
                <c:pt idx="71">
                  <c:v>8.0999999999999908</c:v>
                </c:pt>
                <c:pt idx="72">
                  <c:v>8.1999999999999904</c:v>
                </c:pt>
                <c:pt idx="73">
                  <c:v>8.2999999999999901</c:v>
                </c:pt>
                <c:pt idx="74">
                  <c:v>8.3999999999999897</c:v>
                </c:pt>
                <c:pt idx="75">
                  <c:v>8.4999999999999893</c:v>
                </c:pt>
                <c:pt idx="76">
                  <c:v>8.5999999999999908</c:v>
                </c:pt>
                <c:pt idx="77">
                  <c:v>8.6999999999999904</c:v>
                </c:pt>
                <c:pt idx="78">
                  <c:v>8.7999999999999901</c:v>
                </c:pt>
                <c:pt idx="79">
                  <c:v>8.8999999999999897</c:v>
                </c:pt>
                <c:pt idx="80">
                  <c:v>8.9999999999999893</c:v>
                </c:pt>
                <c:pt idx="81">
                  <c:v>9.0999999999999908</c:v>
                </c:pt>
                <c:pt idx="82">
                  <c:v>9.1999999999999904</c:v>
                </c:pt>
                <c:pt idx="83">
                  <c:v>9.2999999999999901</c:v>
                </c:pt>
                <c:pt idx="84">
                  <c:v>9.3999999999999897</c:v>
                </c:pt>
                <c:pt idx="85">
                  <c:v>9.4999999999999893</c:v>
                </c:pt>
                <c:pt idx="86">
                  <c:v>9.5999999999999908</c:v>
                </c:pt>
                <c:pt idx="87">
                  <c:v>9.6999999999999904</c:v>
                </c:pt>
                <c:pt idx="88">
                  <c:v>9.7999999999999901</c:v>
                </c:pt>
                <c:pt idx="89">
                  <c:v>9.8999999999999897</c:v>
                </c:pt>
                <c:pt idx="90">
                  <c:v>9.9999999999999893</c:v>
                </c:pt>
                <c:pt idx="91">
                  <c:v>11</c:v>
                </c:pt>
                <c:pt idx="92">
                  <c:v>12</c:v>
                </c:pt>
                <c:pt idx="93">
                  <c:v>13</c:v>
                </c:pt>
                <c:pt idx="94">
                  <c:v>14</c:v>
                </c:pt>
                <c:pt idx="95">
                  <c:v>15</c:v>
                </c:pt>
                <c:pt idx="96">
                  <c:v>16</c:v>
                </c:pt>
                <c:pt idx="97">
                  <c:v>17.000000000000099</c:v>
                </c:pt>
                <c:pt idx="98">
                  <c:v>18.000000000000099</c:v>
                </c:pt>
                <c:pt idx="99">
                  <c:v>19.000000000000099</c:v>
                </c:pt>
                <c:pt idx="100">
                  <c:v>20.000000000000099</c:v>
                </c:pt>
                <c:pt idx="101">
                  <c:v>21.000000000000099</c:v>
                </c:pt>
                <c:pt idx="102">
                  <c:v>22.000000000000099</c:v>
                </c:pt>
                <c:pt idx="103">
                  <c:v>23.000000000000099</c:v>
                </c:pt>
                <c:pt idx="104">
                  <c:v>24.000000000000099</c:v>
                </c:pt>
                <c:pt idx="105">
                  <c:v>25.000000000000199</c:v>
                </c:pt>
                <c:pt idx="106">
                  <c:v>26.000000000000199</c:v>
                </c:pt>
                <c:pt idx="107">
                  <c:v>27.000000000000199</c:v>
                </c:pt>
                <c:pt idx="108">
                  <c:v>28.000000000000199</c:v>
                </c:pt>
                <c:pt idx="109">
                  <c:v>29.000000000000199</c:v>
                </c:pt>
                <c:pt idx="110">
                  <c:v>30.000000000000199</c:v>
                </c:pt>
                <c:pt idx="111">
                  <c:v>31.000000000000199</c:v>
                </c:pt>
                <c:pt idx="112">
                  <c:v>32.000000000000199</c:v>
                </c:pt>
                <c:pt idx="113">
                  <c:v>33.000000000000199</c:v>
                </c:pt>
                <c:pt idx="114">
                  <c:v>34.000000000000298</c:v>
                </c:pt>
                <c:pt idx="115">
                  <c:v>35.000000000000298</c:v>
                </c:pt>
                <c:pt idx="116">
                  <c:v>36.000000000000298</c:v>
                </c:pt>
                <c:pt idx="117">
                  <c:v>37.000000000000298</c:v>
                </c:pt>
                <c:pt idx="118">
                  <c:v>38.000000000000298</c:v>
                </c:pt>
                <c:pt idx="119">
                  <c:v>39.000000000000298</c:v>
                </c:pt>
                <c:pt idx="120">
                  <c:v>40.000000000000298</c:v>
                </c:pt>
                <c:pt idx="121">
                  <c:v>41.000000000000298</c:v>
                </c:pt>
                <c:pt idx="122">
                  <c:v>42.000000000000298</c:v>
                </c:pt>
                <c:pt idx="123">
                  <c:v>43.000000000000398</c:v>
                </c:pt>
                <c:pt idx="124">
                  <c:v>44.000000000000398</c:v>
                </c:pt>
                <c:pt idx="125">
                  <c:v>45.000000000000398</c:v>
                </c:pt>
                <c:pt idx="126">
                  <c:v>46.000000000000398</c:v>
                </c:pt>
                <c:pt idx="127">
                  <c:v>47.000000000000398</c:v>
                </c:pt>
                <c:pt idx="128">
                  <c:v>48.000000000000398</c:v>
                </c:pt>
                <c:pt idx="129">
                  <c:v>49.000000000000398</c:v>
                </c:pt>
                <c:pt idx="130">
                  <c:v>50.000000000000398</c:v>
                </c:pt>
                <c:pt idx="131">
                  <c:v>51.000000000000398</c:v>
                </c:pt>
                <c:pt idx="132">
                  <c:v>52.000000000000398</c:v>
                </c:pt>
                <c:pt idx="133">
                  <c:v>53.000000000000497</c:v>
                </c:pt>
                <c:pt idx="134">
                  <c:v>54.000000000000497</c:v>
                </c:pt>
                <c:pt idx="135">
                  <c:v>55.000000000000497</c:v>
                </c:pt>
                <c:pt idx="136">
                  <c:v>56.000000000000497</c:v>
                </c:pt>
                <c:pt idx="137">
                  <c:v>57.000000000000497</c:v>
                </c:pt>
                <c:pt idx="138">
                  <c:v>58.000000000000497</c:v>
                </c:pt>
                <c:pt idx="139">
                  <c:v>59.000000000000497</c:v>
                </c:pt>
                <c:pt idx="140">
                  <c:v>60.000000000000497</c:v>
                </c:pt>
                <c:pt idx="141">
                  <c:v>61.000000000000497</c:v>
                </c:pt>
                <c:pt idx="142">
                  <c:v>62.000000000000597</c:v>
                </c:pt>
                <c:pt idx="143">
                  <c:v>63.000000000000597</c:v>
                </c:pt>
                <c:pt idx="144">
                  <c:v>64.000000000000597</c:v>
                </c:pt>
                <c:pt idx="145">
                  <c:v>65.000000000000597</c:v>
                </c:pt>
                <c:pt idx="146">
                  <c:v>66.000000000000597</c:v>
                </c:pt>
                <c:pt idx="147">
                  <c:v>67.000000000000597</c:v>
                </c:pt>
                <c:pt idx="148">
                  <c:v>68.000000000000597</c:v>
                </c:pt>
                <c:pt idx="149">
                  <c:v>69.000000000000597</c:v>
                </c:pt>
                <c:pt idx="150">
                  <c:v>70.000000000000597</c:v>
                </c:pt>
                <c:pt idx="151">
                  <c:v>71.000000000000696</c:v>
                </c:pt>
                <c:pt idx="152">
                  <c:v>72.000000000000696</c:v>
                </c:pt>
                <c:pt idx="153">
                  <c:v>73.000000000000696</c:v>
                </c:pt>
                <c:pt idx="154">
                  <c:v>74.000000000000696</c:v>
                </c:pt>
                <c:pt idx="155">
                  <c:v>75.000000000000696</c:v>
                </c:pt>
                <c:pt idx="156">
                  <c:v>76.000000000000696</c:v>
                </c:pt>
                <c:pt idx="157">
                  <c:v>77.000000000000696</c:v>
                </c:pt>
                <c:pt idx="158">
                  <c:v>78.000000000000696</c:v>
                </c:pt>
                <c:pt idx="159">
                  <c:v>79.000000000000696</c:v>
                </c:pt>
                <c:pt idx="160">
                  <c:v>80.000000000000696</c:v>
                </c:pt>
                <c:pt idx="161">
                  <c:v>81.000000000000796</c:v>
                </c:pt>
                <c:pt idx="162">
                  <c:v>82.000000000000796</c:v>
                </c:pt>
                <c:pt idx="163">
                  <c:v>83.000000000000796</c:v>
                </c:pt>
                <c:pt idx="164">
                  <c:v>84.000000000000796</c:v>
                </c:pt>
                <c:pt idx="165">
                  <c:v>85.000000000000796</c:v>
                </c:pt>
                <c:pt idx="166">
                  <c:v>86.000000000000796</c:v>
                </c:pt>
                <c:pt idx="167">
                  <c:v>87.000000000000796</c:v>
                </c:pt>
                <c:pt idx="168">
                  <c:v>88.000000000000796</c:v>
                </c:pt>
                <c:pt idx="169">
                  <c:v>89.000000000000796</c:v>
                </c:pt>
                <c:pt idx="170">
                  <c:v>90.000000000000895</c:v>
                </c:pt>
                <c:pt idx="171">
                  <c:v>91.000000000000895</c:v>
                </c:pt>
                <c:pt idx="172">
                  <c:v>92.000000000000895</c:v>
                </c:pt>
                <c:pt idx="173">
                  <c:v>93.000000000000895</c:v>
                </c:pt>
                <c:pt idx="174">
                  <c:v>94.000000000000895</c:v>
                </c:pt>
                <c:pt idx="175">
                  <c:v>95.000000000000895</c:v>
                </c:pt>
                <c:pt idx="176">
                  <c:v>96.000000000000895</c:v>
                </c:pt>
                <c:pt idx="177">
                  <c:v>97.000000000000895</c:v>
                </c:pt>
                <c:pt idx="178">
                  <c:v>98.000000000000895</c:v>
                </c:pt>
                <c:pt idx="179">
                  <c:v>99.000000000000995</c:v>
                </c:pt>
                <c:pt idx="180">
                  <c:v>100.00000000000099</c:v>
                </c:pt>
                <c:pt idx="181">
                  <c:v>110</c:v>
                </c:pt>
                <c:pt idx="182">
                  <c:v>120</c:v>
                </c:pt>
                <c:pt idx="183">
                  <c:v>129.99999999999801</c:v>
                </c:pt>
                <c:pt idx="184">
                  <c:v>139.99999999999699</c:v>
                </c:pt>
                <c:pt idx="185">
                  <c:v>149.99999999999599</c:v>
                </c:pt>
                <c:pt idx="186">
                  <c:v>159.999999999995</c:v>
                </c:pt>
                <c:pt idx="187">
                  <c:v>169.999999999994</c:v>
                </c:pt>
                <c:pt idx="188">
                  <c:v>179.99999999999301</c:v>
                </c:pt>
                <c:pt idx="189">
                  <c:v>189.99999999999201</c:v>
                </c:pt>
                <c:pt idx="190">
                  <c:v>199.99999999999099</c:v>
                </c:pt>
                <c:pt idx="191">
                  <c:v>209.99999999999</c:v>
                </c:pt>
                <c:pt idx="192">
                  <c:v>219.999999999989</c:v>
                </c:pt>
                <c:pt idx="193">
                  <c:v>229.99999999998801</c:v>
                </c:pt>
                <c:pt idx="194">
                  <c:v>239.99999999998701</c:v>
                </c:pt>
                <c:pt idx="195">
                  <c:v>249.99999999998599</c:v>
                </c:pt>
                <c:pt idx="196">
                  <c:v>259.99999999998499</c:v>
                </c:pt>
                <c:pt idx="197">
                  <c:v>269.99999999998403</c:v>
                </c:pt>
                <c:pt idx="198">
                  <c:v>279.999999999983</c:v>
                </c:pt>
                <c:pt idx="199">
                  <c:v>289.99999999998198</c:v>
                </c:pt>
                <c:pt idx="200">
                  <c:v>299.99999999998101</c:v>
                </c:pt>
                <c:pt idx="201">
                  <c:v>309.99999999997999</c:v>
                </c:pt>
                <c:pt idx="202">
                  <c:v>319.99999999997902</c:v>
                </c:pt>
                <c:pt idx="203">
                  <c:v>329.999999999978</c:v>
                </c:pt>
                <c:pt idx="204">
                  <c:v>339.99999999997698</c:v>
                </c:pt>
                <c:pt idx="205">
                  <c:v>349.99999999997601</c:v>
                </c:pt>
                <c:pt idx="206">
                  <c:v>359.99999999997499</c:v>
                </c:pt>
                <c:pt idx="207">
                  <c:v>369.99999999997402</c:v>
                </c:pt>
                <c:pt idx="208">
                  <c:v>379.999999999973</c:v>
                </c:pt>
                <c:pt idx="209">
                  <c:v>389.99999999997198</c:v>
                </c:pt>
                <c:pt idx="210">
                  <c:v>399.99999999997101</c:v>
                </c:pt>
                <c:pt idx="211">
                  <c:v>409.99999999996999</c:v>
                </c:pt>
                <c:pt idx="212">
                  <c:v>419.99999999996902</c:v>
                </c:pt>
                <c:pt idx="213">
                  <c:v>429.999999999968</c:v>
                </c:pt>
                <c:pt idx="214">
                  <c:v>439.99999999996697</c:v>
                </c:pt>
                <c:pt idx="215">
                  <c:v>449.99999999996601</c:v>
                </c:pt>
                <c:pt idx="216">
                  <c:v>459.99999999996498</c:v>
                </c:pt>
                <c:pt idx="217">
                  <c:v>469.99999999996402</c:v>
                </c:pt>
                <c:pt idx="218">
                  <c:v>479.99999999996299</c:v>
                </c:pt>
                <c:pt idx="219">
                  <c:v>489.99999999996197</c:v>
                </c:pt>
                <c:pt idx="220">
                  <c:v>499.99999999996101</c:v>
                </c:pt>
                <c:pt idx="221">
                  <c:v>509.99999999995998</c:v>
                </c:pt>
                <c:pt idx="222">
                  <c:v>519.99999999995896</c:v>
                </c:pt>
                <c:pt idx="223">
                  <c:v>529.99999999995805</c:v>
                </c:pt>
                <c:pt idx="224">
                  <c:v>539.99999999995703</c:v>
                </c:pt>
                <c:pt idx="225">
                  <c:v>549.999999999956</c:v>
                </c:pt>
                <c:pt idx="226">
                  <c:v>559.99999999995498</c:v>
                </c:pt>
                <c:pt idx="227">
                  <c:v>569.99999999995396</c:v>
                </c:pt>
                <c:pt idx="228">
                  <c:v>579.99999999995305</c:v>
                </c:pt>
                <c:pt idx="229">
                  <c:v>589.99999999995202</c:v>
                </c:pt>
                <c:pt idx="230">
                  <c:v>599.999999999951</c:v>
                </c:pt>
                <c:pt idx="231">
                  <c:v>609.99999999994998</c:v>
                </c:pt>
                <c:pt idx="232">
                  <c:v>619.99999999994895</c:v>
                </c:pt>
                <c:pt idx="233">
                  <c:v>629.99999999994805</c:v>
                </c:pt>
                <c:pt idx="234">
                  <c:v>639.99999999994702</c:v>
                </c:pt>
                <c:pt idx="235">
                  <c:v>649.999999999946</c:v>
                </c:pt>
                <c:pt idx="236">
                  <c:v>659.99999999994498</c:v>
                </c:pt>
                <c:pt idx="237">
                  <c:v>669.99999999994395</c:v>
                </c:pt>
                <c:pt idx="238">
                  <c:v>679.99999999994304</c:v>
                </c:pt>
                <c:pt idx="239">
                  <c:v>689.99999999994202</c:v>
                </c:pt>
                <c:pt idx="240">
                  <c:v>699.999999999941</c:v>
                </c:pt>
                <c:pt idx="241">
                  <c:v>709.99999999993997</c:v>
                </c:pt>
                <c:pt idx="242">
                  <c:v>719.99999999993895</c:v>
                </c:pt>
                <c:pt idx="243">
                  <c:v>729.99999999993804</c:v>
                </c:pt>
                <c:pt idx="244">
                  <c:v>739.99999999993702</c:v>
                </c:pt>
                <c:pt idx="245">
                  <c:v>749.99999999993599</c:v>
                </c:pt>
                <c:pt idx="246">
                  <c:v>759.99999999993497</c:v>
                </c:pt>
                <c:pt idx="247">
                  <c:v>769.99999999993395</c:v>
                </c:pt>
                <c:pt idx="248">
                  <c:v>779.99999999993304</c:v>
                </c:pt>
                <c:pt idx="249">
                  <c:v>789.99999999993202</c:v>
                </c:pt>
                <c:pt idx="250">
                  <c:v>799.99999999993099</c:v>
                </c:pt>
                <c:pt idx="251">
                  <c:v>809.99999999992997</c:v>
                </c:pt>
                <c:pt idx="252">
                  <c:v>819.99999999992895</c:v>
                </c:pt>
                <c:pt idx="253">
                  <c:v>829.99999999992804</c:v>
                </c:pt>
                <c:pt idx="254">
                  <c:v>839.99999999992701</c:v>
                </c:pt>
                <c:pt idx="255">
                  <c:v>849.99999999992599</c:v>
                </c:pt>
                <c:pt idx="256">
                  <c:v>859.99999999992497</c:v>
                </c:pt>
                <c:pt idx="257">
                  <c:v>869.99999999992394</c:v>
                </c:pt>
                <c:pt idx="258">
                  <c:v>879.99999999992303</c:v>
                </c:pt>
                <c:pt idx="259">
                  <c:v>889.99999999992201</c:v>
                </c:pt>
                <c:pt idx="260">
                  <c:v>899.99999999992099</c:v>
                </c:pt>
                <c:pt idx="261">
                  <c:v>909.99999999991996</c:v>
                </c:pt>
                <c:pt idx="262">
                  <c:v>919.99999999991905</c:v>
                </c:pt>
                <c:pt idx="263">
                  <c:v>929.99999999991803</c:v>
                </c:pt>
                <c:pt idx="264">
                  <c:v>939.99999999991701</c:v>
                </c:pt>
                <c:pt idx="265">
                  <c:v>949.99999999991599</c:v>
                </c:pt>
                <c:pt idx="266">
                  <c:v>959.99999999991599</c:v>
                </c:pt>
                <c:pt idx="267">
                  <c:v>969.99999999991405</c:v>
                </c:pt>
                <c:pt idx="268">
                  <c:v>979.99999999991303</c:v>
                </c:pt>
                <c:pt idx="269">
                  <c:v>989.99999999991201</c:v>
                </c:pt>
                <c:pt idx="270">
                  <c:v>999.99999999991098</c:v>
                </c:pt>
                <c:pt idx="271">
                  <c:v>1100</c:v>
                </c:pt>
                <c:pt idx="272">
                  <c:v>1200.00000000009</c:v>
                </c:pt>
                <c:pt idx="273">
                  <c:v>1300.0000000001801</c:v>
                </c:pt>
                <c:pt idx="274">
                  <c:v>1400.0000000002699</c:v>
                </c:pt>
                <c:pt idx="275">
                  <c:v>1500.0000000003599</c:v>
                </c:pt>
                <c:pt idx="276">
                  <c:v>1600.00000000044</c:v>
                </c:pt>
                <c:pt idx="277">
                  <c:v>1700.00000000053</c:v>
                </c:pt>
                <c:pt idx="278">
                  <c:v>1800.00000000062</c:v>
                </c:pt>
                <c:pt idx="279">
                  <c:v>1900.0000000007101</c:v>
                </c:pt>
                <c:pt idx="280">
                  <c:v>2000.0000000007999</c:v>
                </c:pt>
                <c:pt idx="281">
                  <c:v>2100.0000000008899</c:v>
                </c:pt>
                <c:pt idx="282">
                  <c:v>2200.00000000098</c:v>
                </c:pt>
                <c:pt idx="283">
                  <c:v>2300.00000000107</c:v>
                </c:pt>
                <c:pt idx="284">
                  <c:v>2400.0000000011601</c:v>
                </c:pt>
                <c:pt idx="285">
                  <c:v>2500.0000000012501</c:v>
                </c:pt>
                <c:pt idx="286">
                  <c:v>2600.0000000013301</c:v>
                </c:pt>
                <c:pt idx="287">
                  <c:v>2700.0000000014202</c:v>
                </c:pt>
                <c:pt idx="288">
                  <c:v>2800.0000000015102</c:v>
                </c:pt>
                <c:pt idx="289">
                  <c:v>2900.0000000015998</c:v>
                </c:pt>
                <c:pt idx="290">
                  <c:v>3000.0000000016898</c:v>
                </c:pt>
                <c:pt idx="291">
                  <c:v>3100.0000000017799</c:v>
                </c:pt>
                <c:pt idx="292">
                  <c:v>3200.0000000018699</c:v>
                </c:pt>
                <c:pt idx="293">
                  <c:v>3300.00000000196</c:v>
                </c:pt>
                <c:pt idx="294">
                  <c:v>3400.00000000205</c:v>
                </c:pt>
                <c:pt idx="295">
                  <c:v>3500.00000000214</c:v>
                </c:pt>
                <c:pt idx="296">
                  <c:v>3600.0000000022201</c:v>
                </c:pt>
                <c:pt idx="297">
                  <c:v>3700.0000000023101</c:v>
                </c:pt>
                <c:pt idx="298">
                  <c:v>3800.0000000024002</c:v>
                </c:pt>
                <c:pt idx="299">
                  <c:v>3900.0000000024902</c:v>
                </c:pt>
                <c:pt idx="300">
                  <c:v>4000.0000000025798</c:v>
                </c:pt>
                <c:pt idx="301">
                  <c:v>4100.0000000026703</c:v>
                </c:pt>
                <c:pt idx="302">
                  <c:v>4200.0000000027603</c:v>
                </c:pt>
                <c:pt idx="303">
                  <c:v>4300.0000000028504</c:v>
                </c:pt>
                <c:pt idx="304">
                  <c:v>4400.0000000029404</c:v>
                </c:pt>
                <c:pt idx="305">
                  <c:v>4500.0000000030304</c:v>
                </c:pt>
                <c:pt idx="306">
                  <c:v>4600.0000000031096</c:v>
                </c:pt>
                <c:pt idx="307">
                  <c:v>4700.0000000031996</c:v>
                </c:pt>
                <c:pt idx="308">
                  <c:v>4800.0000000032896</c:v>
                </c:pt>
                <c:pt idx="309">
                  <c:v>4900.0000000033797</c:v>
                </c:pt>
                <c:pt idx="310">
                  <c:v>5000.0000000034697</c:v>
                </c:pt>
                <c:pt idx="311">
                  <c:v>5100.0000000035598</c:v>
                </c:pt>
                <c:pt idx="312">
                  <c:v>5200.0000000036498</c:v>
                </c:pt>
                <c:pt idx="313">
                  <c:v>5300.0000000037398</c:v>
                </c:pt>
                <c:pt idx="314">
                  <c:v>5400.0000000038299</c:v>
                </c:pt>
                <c:pt idx="315">
                  <c:v>5500.0000000039199</c:v>
                </c:pt>
                <c:pt idx="316">
                  <c:v>5600.000000004</c:v>
                </c:pt>
                <c:pt idx="317">
                  <c:v>5700.00000000409</c:v>
                </c:pt>
                <c:pt idx="318">
                  <c:v>5800.00000000418</c:v>
                </c:pt>
                <c:pt idx="319">
                  <c:v>5900.0000000042701</c:v>
                </c:pt>
                <c:pt idx="320">
                  <c:v>6000.0000000043601</c:v>
                </c:pt>
                <c:pt idx="321">
                  <c:v>6100.0000000044502</c:v>
                </c:pt>
                <c:pt idx="322">
                  <c:v>6200.0000000045402</c:v>
                </c:pt>
                <c:pt idx="323">
                  <c:v>6300.0000000046302</c:v>
                </c:pt>
                <c:pt idx="324">
                  <c:v>6400.0000000047203</c:v>
                </c:pt>
                <c:pt idx="325">
                  <c:v>6500.0000000048103</c:v>
                </c:pt>
                <c:pt idx="326">
                  <c:v>6600.0000000048904</c:v>
                </c:pt>
                <c:pt idx="327">
                  <c:v>6700.0000000049804</c:v>
                </c:pt>
                <c:pt idx="328">
                  <c:v>6800.0000000050704</c:v>
                </c:pt>
                <c:pt idx="329">
                  <c:v>6900.0000000051596</c:v>
                </c:pt>
                <c:pt idx="330">
                  <c:v>7000.0000000052496</c:v>
                </c:pt>
                <c:pt idx="331">
                  <c:v>7100.0000000053396</c:v>
                </c:pt>
                <c:pt idx="332">
                  <c:v>7200.0000000054297</c:v>
                </c:pt>
                <c:pt idx="333">
                  <c:v>7300.0000000055197</c:v>
                </c:pt>
                <c:pt idx="334">
                  <c:v>7400.0000000056098</c:v>
                </c:pt>
                <c:pt idx="335">
                  <c:v>7500.0000000056998</c:v>
                </c:pt>
                <c:pt idx="336">
                  <c:v>7600.0000000057898</c:v>
                </c:pt>
                <c:pt idx="337">
                  <c:v>7700.0000000058699</c:v>
                </c:pt>
                <c:pt idx="338">
                  <c:v>7800.0000000059599</c:v>
                </c:pt>
                <c:pt idx="339">
                  <c:v>7900.00000000605</c:v>
                </c:pt>
                <c:pt idx="340">
                  <c:v>8000.00000000614</c:v>
                </c:pt>
                <c:pt idx="341">
                  <c:v>8100.00000000623</c:v>
                </c:pt>
                <c:pt idx="342">
                  <c:v>8200.0000000063192</c:v>
                </c:pt>
                <c:pt idx="343">
                  <c:v>8300.0000000064101</c:v>
                </c:pt>
                <c:pt idx="344">
                  <c:v>8400.0000000064992</c:v>
                </c:pt>
                <c:pt idx="345">
                  <c:v>8500.0000000065902</c:v>
                </c:pt>
                <c:pt idx="346">
                  <c:v>8600.0000000066702</c:v>
                </c:pt>
                <c:pt idx="347">
                  <c:v>8700.0000000067594</c:v>
                </c:pt>
                <c:pt idx="348">
                  <c:v>8800.0000000068503</c:v>
                </c:pt>
                <c:pt idx="349">
                  <c:v>8900.0000000069394</c:v>
                </c:pt>
                <c:pt idx="350">
                  <c:v>9000.0000000070304</c:v>
                </c:pt>
                <c:pt idx="351">
                  <c:v>9100.0000000071195</c:v>
                </c:pt>
                <c:pt idx="352">
                  <c:v>9200.0000000072105</c:v>
                </c:pt>
                <c:pt idx="353">
                  <c:v>9300.0000000072996</c:v>
                </c:pt>
                <c:pt idx="354">
                  <c:v>9400.0000000073906</c:v>
                </c:pt>
                <c:pt idx="355">
                  <c:v>9500.0000000074797</c:v>
                </c:pt>
                <c:pt idx="356">
                  <c:v>9600.0000000075706</c:v>
                </c:pt>
                <c:pt idx="357">
                  <c:v>9700.0000000076598</c:v>
                </c:pt>
                <c:pt idx="358">
                  <c:v>9800.0000000077398</c:v>
                </c:pt>
                <c:pt idx="359">
                  <c:v>9900.0000000078307</c:v>
                </c:pt>
                <c:pt idx="360">
                  <c:v>10000.0000000079</c:v>
                </c:pt>
                <c:pt idx="361">
                  <c:v>11000</c:v>
                </c:pt>
                <c:pt idx="362">
                  <c:v>11999.9999999921</c:v>
                </c:pt>
                <c:pt idx="363">
                  <c:v>12999.9999999842</c:v>
                </c:pt>
                <c:pt idx="364">
                  <c:v>13999.9999999763</c:v>
                </c:pt>
                <c:pt idx="365">
                  <c:v>14999.999999968401</c:v>
                </c:pt>
                <c:pt idx="366">
                  <c:v>15999.999999960501</c:v>
                </c:pt>
                <c:pt idx="367">
                  <c:v>16999.999999952601</c:v>
                </c:pt>
                <c:pt idx="368">
                  <c:v>17999.999999944699</c:v>
                </c:pt>
                <c:pt idx="369">
                  <c:v>18999.999999936801</c:v>
                </c:pt>
                <c:pt idx="370">
                  <c:v>19999.999999928899</c:v>
                </c:pt>
                <c:pt idx="371">
                  <c:v>20999.999999921001</c:v>
                </c:pt>
                <c:pt idx="372">
                  <c:v>21999.9999999131</c:v>
                </c:pt>
                <c:pt idx="373">
                  <c:v>22999.999999905202</c:v>
                </c:pt>
                <c:pt idx="374">
                  <c:v>23999.9999998973</c:v>
                </c:pt>
                <c:pt idx="375">
                  <c:v>24999.999999889402</c:v>
                </c:pt>
                <c:pt idx="376">
                  <c:v>25999.9999998815</c:v>
                </c:pt>
                <c:pt idx="377">
                  <c:v>26999.999999873598</c:v>
                </c:pt>
                <c:pt idx="378">
                  <c:v>27999.9999998657</c:v>
                </c:pt>
                <c:pt idx="379">
                  <c:v>28999.999999857799</c:v>
                </c:pt>
                <c:pt idx="380">
                  <c:v>29999.999999849901</c:v>
                </c:pt>
                <c:pt idx="381">
                  <c:v>30999.999999841999</c:v>
                </c:pt>
                <c:pt idx="382">
                  <c:v>31999.999999834101</c:v>
                </c:pt>
                <c:pt idx="383">
                  <c:v>32999.999999826199</c:v>
                </c:pt>
                <c:pt idx="384">
                  <c:v>33999.999999818298</c:v>
                </c:pt>
                <c:pt idx="385">
                  <c:v>34999.999999810403</c:v>
                </c:pt>
                <c:pt idx="386">
                  <c:v>35999.999999802501</c:v>
                </c:pt>
                <c:pt idx="387">
                  <c:v>36999.9999997946</c:v>
                </c:pt>
                <c:pt idx="388">
                  <c:v>37999.999999786698</c:v>
                </c:pt>
                <c:pt idx="389">
                  <c:v>38999.999999778804</c:v>
                </c:pt>
                <c:pt idx="390">
                  <c:v>39999.999999770902</c:v>
                </c:pt>
                <c:pt idx="391">
                  <c:v>40999.999999763</c:v>
                </c:pt>
                <c:pt idx="392">
                  <c:v>41999.999999755099</c:v>
                </c:pt>
                <c:pt idx="393">
                  <c:v>42999.999999747197</c:v>
                </c:pt>
                <c:pt idx="394">
                  <c:v>43999.999999739302</c:v>
                </c:pt>
                <c:pt idx="395">
                  <c:v>44999.999999731401</c:v>
                </c:pt>
                <c:pt idx="396">
                  <c:v>45999.999999723499</c:v>
                </c:pt>
                <c:pt idx="397">
                  <c:v>46999.999999715597</c:v>
                </c:pt>
                <c:pt idx="398">
                  <c:v>47999.999999707703</c:v>
                </c:pt>
                <c:pt idx="399">
                  <c:v>48999.999999699801</c:v>
                </c:pt>
                <c:pt idx="400">
                  <c:v>49999.9999996919</c:v>
                </c:pt>
                <c:pt idx="401">
                  <c:v>50999.999999683998</c:v>
                </c:pt>
                <c:pt idx="402">
                  <c:v>51999.999999676103</c:v>
                </c:pt>
                <c:pt idx="403">
                  <c:v>52999.999999668202</c:v>
                </c:pt>
                <c:pt idx="404">
                  <c:v>53999.9999996603</c:v>
                </c:pt>
                <c:pt idx="405">
                  <c:v>54999.999999652398</c:v>
                </c:pt>
                <c:pt idx="406">
                  <c:v>55999.999999644497</c:v>
                </c:pt>
                <c:pt idx="407">
                  <c:v>56999.999999636602</c:v>
                </c:pt>
                <c:pt idx="408">
                  <c:v>57999.999999628701</c:v>
                </c:pt>
                <c:pt idx="409">
                  <c:v>58999.999999620799</c:v>
                </c:pt>
                <c:pt idx="410">
                  <c:v>59999.999999612897</c:v>
                </c:pt>
                <c:pt idx="411">
                  <c:v>60999.999999605003</c:v>
                </c:pt>
                <c:pt idx="412">
                  <c:v>61999.999999597101</c:v>
                </c:pt>
                <c:pt idx="413">
                  <c:v>62999.999999589199</c:v>
                </c:pt>
                <c:pt idx="414">
                  <c:v>63999.999999581298</c:v>
                </c:pt>
                <c:pt idx="415">
                  <c:v>64999.999999573403</c:v>
                </c:pt>
                <c:pt idx="416">
                  <c:v>65999.999999565494</c:v>
                </c:pt>
                <c:pt idx="417">
                  <c:v>66999.999999557607</c:v>
                </c:pt>
                <c:pt idx="418">
                  <c:v>67999.999999549706</c:v>
                </c:pt>
                <c:pt idx="419">
                  <c:v>68999.999999541804</c:v>
                </c:pt>
                <c:pt idx="420">
                  <c:v>69999.999999533902</c:v>
                </c:pt>
                <c:pt idx="421">
                  <c:v>70999.999999526</c:v>
                </c:pt>
                <c:pt idx="422">
                  <c:v>71999.999999518099</c:v>
                </c:pt>
                <c:pt idx="423">
                  <c:v>72999.999999510197</c:v>
                </c:pt>
                <c:pt idx="424">
                  <c:v>73999.999999502295</c:v>
                </c:pt>
                <c:pt idx="425">
                  <c:v>74999.999999494394</c:v>
                </c:pt>
                <c:pt idx="426">
                  <c:v>75999.999999486507</c:v>
                </c:pt>
                <c:pt idx="427">
                  <c:v>76999.999999478605</c:v>
                </c:pt>
                <c:pt idx="428">
                  <c:v>77999.999999470703</c:v>
                </c:pt>
                <c:pt idx="429">
                  <c:v>78999.999999462801</c:v>
                </c:pt>
                <c:pt idx="430">
                  <c:v>79999.9999994549</c:v>
                </c:pt>
                <c:pt idx="431">
                  <c:v>80999.999999446998</c:v>
                </c:pt>
                <c:pt idx="432">
                  <c:v>81999.999999439096</c:v>
                </c:pt>
                <c:pt idx="433">
                  <c:v>82999.999999431195</c:v>
                </c:pt>
                <c:pt idx="434">
                  <c:v>83999.999999423293</c:v>
                </c:pt>
                <c:pt idx="435">
                  <c:v>84999.999999415406</c:v>
                </c:pt>
                <c:pt idx="436">
                  <c:v>85999.999999407504</c:v>
                </c:pt>
                <c:pt idx="437">
                  <c:v>86999.999999399603</c:v>
                </c:pt>
                <c:pt idx="438">
                  <c:v>87999.999999391701</c:v>
                </c:pt>
                <c:pt idx="439">
                  <c:v>88999.999999383799</c:v>
                </c:pt>
                <c:pt idx="440">
                  <c:v>89999.999999375897</c:v>
                </c:pt>
                <c:pt idx="441">
                  <c:v>90999.999999367996</c:v>
                </c:pt>
                <c:pt idx="442">
                  <c:v>91999.999999360094</c:v>
                </c:pt>
                <c:pt idx="443">
                  <c:v>92999.999999352207</c:v>
                </c:pt>
                <c:pt idx="444">
                  <c:v>93999.999999344305</c:v>
                </c:pt>
                <c:pt idx="445">
                  <c:v>94999.999999336404</c:v>
                </c:pt>
                <c:pt idx="446">
                  <c:v>95999.999999328502</c:v>
                </c:pt>
                <c:pt idx="447">
                  <c:v>96999.9999993206</c:v>
                </c:pt>
                <c:pt idx="448">
                  <c:v>97999.999999312698</c:v>
                </c:pt>
                <c:pt idx="449">
                  <c:v>98999.999999304797</c:v>
                </c:pt>
                <c:pt idx="450">
                  <c:v>99999.999999296895</c:v>
                </c:pt>
                <c:pt idx="451">
                  <c:v>110000</c:v>
                </c:pt>
                <c:pt idx="452">
                  <c:v>120000.000000703</c:v>
                </c:pt>
                <c:pt idx="453">
                  <c:v>130000.00000140601</c:v>
                </c:pt>
                <c:pt idx="454">
                  <c:v>140000.00000210901</c:v>
                </c:pt>
                <c:pt idx="455">
                  <c:v>150000.00000281201</c:v>
                </c:pt>
                <c:pt idx="456">
                  <c:v>160000.000003516</c:v>
                </c:pt>
                <c:pt idx="457">
                  <c:v>170000.00000421901</c:v>
                </c:pt>
                <c:pt idx="458">
                  <c:v>180000.00000492201</c:v>
                </c:pt>
                <c:pt idx="459">
                  <c:v>190000.00000562501</c:v>
                </c:pt>
                <c:pt idx="460">
                  <c:v>200000.00000632799</c:v>
                </c:pt>
                <c:pt idx="461">
                  <c:v>210000.00000703099</c:v>
                </c:pt>
                <c:pt idx="462">
                  <c:v>220000.00000773399</c:v>
                </c:pt>
                <c:pt idx="463">
                  <c:v>230000.000008437</c:v>
                </c:pt>
                <c:pt idx="464">
                  <c:v>240000.00000914</c:v>
                </c:pt>
                <c:pt idx="465">
                  <c:v>250000.00000984399</c:v>
                </c:pt>
                <c:pt idx="466">
                  <c:v>260000.000010547</c:v>
                </c:pt>
                <c:pt idx="467">
                  <c:v>270000.00001125003</c:v>
                </c:pt>
                <c:pt idx="468">
                  <c:v>280000.000011953</c:v>
                </c:pt>
                <c:pt idx="469">
                  <c:v>290000.00001265598</c:v>
                </c:pt>
                <c:pt idx="470">
                  <c:v>300000.00001335901</c:v>
                </c:pt>
                <c:pt idx="471">
                  <c:v>310000.00001406198</c:v>
                </c:pt>
                <c:pt idx="472">
                  <c:v>320000.00001476501</c:v>
                </c:pt>
                <c:pt idx="473">
                  <c:v>330000.00001546799</c:v>
                </c:pt>
                <c:pt idx="474">
                  <c:v>340000.00001617201</c:v>
                </c:pt>
                <c:pt idx="475">
                  <c:v>350000.00001687498</c:v>
                </c:pt>
                <c:pt idx="476">
                  <c:v>360000.00001757802</c:v>
                </c:pt>
                <c:pt idx="477">
                  <c:v>370000.00001828099</c:v>
                </c:pt>
                <c:pt idx="478">
                  <c:v>380000.00001898402</c:v>
                </c:pt>
                <c:pt idx="479">
                  <c:v>390000.000019687</c:v>
                </c:pt>
                <c:pt idx="480">
                  <c:v>400000.00002039003</c:v>
                </c:pt>
                <c:pt idx="481">
                  <c:v>410000.000021093</c:v>
                </c:pt>
                <c:pt idx="482">
                  <c:v>420000.00002179598</c:v>
                </c:pt>
                <c:pt idx="483">
                  <c:v>430000.00002249901</c:v>
                </c:pt>
                <c:pt idx="484">
                  <c:v>440000.00002320303</c:v>
                </c:pt>
                <c:pt idx="485">
                  <c:v>450000.000023906</c:v>
                </c:pt>
                <c:pt idx="486">
                  <c:v>460000.00002460898</c:v>
                </c:pt>
                <c:pt idx="487">
                  <c:v>470000.00002531201</c:v>
                </c:pt>
                <c:pt idx="488">
                  <c:v>480000.00002601498</c:v>
                </c:pt>
                <c:pt idx="489">
                  <c:v>490000.00002671801</c:v>
                </c:pt>
                <c:pt idx="490">
                  <c:v>500000.00002742099</c:v>
                </c:pt>
                <c:pt idx="491">
                  <c:v>510000.00002812402</c:v>
                </c:pt>
                <c:pt idx="492">
                  <c:v>520000.00002882699</c:v>
                </c:pt>
                <c:pt idx="493">
                  <c:v>530000.00002953096</c:v>
                </c:pt>
                <c:pt idx="494">
                  <c:v>540000.00003023399</c:v>
                </c:pt>
                <c:pt idx="495">
                  <c:v>550000.00003093702</c:v>
                </c:pt>
                <c:pt idx="496">
                  <c:v>560000.00003164005</c:v>
                </c:pt>
                <c:pt idx="497">
                  <c:v>570000.00003234297</c:v>
                </c:pt>
                <c:pt idx="498">
                  <c:v>580000.000033046</c:v>
                </c:pt>
                <c:pt idx="499">
                  <c:v>590000.00003374903</c:v>
                </c:pt>
                <c:pt idx="500">
                  <c:v>600000.00003445195</c:v>
                </c:pt>
                <c:pt idx="501">
                  <c:v>610000.00003515498</c:v>
                </c:pt>
                <c:pt idx="502">
                  <c:v>620000.00003585801</c:v>
                </c:pt>
                <c:pt idx="503">
                  <c:v>630000.00003656198</c:v>
                </c:pt>
                <c:pt idx="504">
                  <c:v>640000.00003726501</c:v>
                </c:pt>
                <c:pt idx="505">
                  <c:v>650000.00003796804</c:v>
                </c:pt>
                <c:pt idx="506">
                  <c:v>660000.00003867096</c:v>
                </c:pt>
                <c:pt idx="507">
                  <c:v>670000.00003937399</c:v>
                </c:pt>
                <c:pt idx="508">
                  <c:v>680000.00004007702</c:v>
                </c:pt>
                <c:pt idx="509">
                  <c:v>690000.00004078005</c:v>
                </c:pt>
                <c:pt idx="510">
                  <c:v>700000.00004148297</c:v>
                </c:pt>
                <c:pt idx="511">
                  <c:v>710000.000042186</c:v>
                </c:pt>
                <c:pt idx="512">
                  <c:v>720000.00004288997</c:v>
                </c:pt>
                <c:pt idx="513">
                  <c:v>730000.000043593</c:v>
                </c:pt>
                <c:pt idx="514">
                  <c:v>740000.00004429603</c:v>
                </c:pt>
                <c:pt idx="515">
                  <c:v>750000.00004499895</c:v>
                </c:pt>
                <c:pt idx="516">
                  <c:v>760000.00004570198</c:v>
                </c:pt>
                <c:pt idx="517">
                  <c:v>770000.00004640501</c:v>
                </c:pt>
                <c:pt idx="518">
                  <c:v>780000.00004710804</c:v>
                </c:pt>
                <c:pt idx="519">
                  <c:v>790000.00004781096</c:v>
                </c:pt>
                <c:pt idx="520">
                  <c:v>800000.00004851399</c:v>
                </c:pt>
                <c:pt idx="521">
                  <c:v>810000.00004921702</c:v>
                </c:pt>
                <c:pt idx="522">
                  <c:v>820000.00004992099</c:v>
                </c:pt>
                <c:pt idx="523">
                  <c:v>830000.00005062402</c:v>
                </c:pt>
                <c:pt idx="524">
                  <c:v>840000.00005132705</c:v>
                </c:pt>
                <c:pt idx="525">
                  <c:v>850000.00005202997</c:v>
                </c:pt>
                <c:pt idx="526">
                  <c:v>860000.000052733</c:v>
                </c:pt>
                <c:pt idx="527">
                  <c:v>870000.00005343603</c:v>
                </c:pt>
                <c:pt idx="528">
                  <c:v>880000.00005413895</c:v>
                </c:pt>
                <c:pt idx="529">
                  <c:v>890000.00005484198</c:v>
                </c:pt>
                <c:pt idx="530">
                  <c:v>900000.00005554501</c:v>
                </c:pt>
                <c:pt idx="531">
                  <c:v>910000.00005624897</c:v>
                </c:pt>
                <c:pt idx="532">
                  <c:v>920000.00005695201</c:v>
                </c:pt>
                <c:pt idx="533">
                  <c:v>930000.00005765504</c:v>
                </c:pt>
                <c:pt idx="534">
                  <c:v>940000.00005835795</c:v>
                </c:pt>
                <c:pt idx="535">
                  <c:v>950000.00005906099</c:v>
                </c:pt>
                <c:pt idx="536">
                  <c:v>960000.00005976402</c:v>
                </c:pt>
                <c:pt idx="537">
                  <c:v>970000.00006046705</c:v>
                </c:pt>
                <c:pt idx="538">
                  <c:v>980000.00006116997</c:v>
                </c:pt>
                <c:pt idx="539">
                  <c:v>990000.000061873</c:v>
                </c:pt>
                <c:pt idx="540">
                  <c:v>1000000.00006258</c:v>
                </c:pt>
                <c:pt idx="541">
                  <c:v>1100000</c:v>
                </c:pt>
                <c:pt idx="542">
                  <c:v>1200000</c:v>
                </c:pt>
                <c:pt idx="543">
                  <c:v>1300000</c:v>
                </c:pt>
                <c:pt idx="544">
                  <c:v>1400000</c:v>
                </c:pt>
                <c:pt idx="545">
                  <c:v>1500000</c:v>
                </c:pt>
                <c:pt idx="546">
                  <c:v>1600000</c:v>
                </c:pt>
                <c:pt idx="547">
                  <c:v>1700000</c:v>
                </c:pt>
                <c:pt idx="548">
                  <c:v>1800000</c:v>
                </c:pt>
                <c:pt idx="549">
                  <c:v>1900000</c:v>
                </c:pt>
                <c:pt idx="550">
                  <c:v>2000000</c:v>
                </c:pt>
                <c:pt idx="551">
                  <c:v>2100000</c:v>
                </c:pt>
                <c:pt idx="552">
                  <c:v>2200000</c:v>
                </c:pt>
                <c:pt idx="553">
                  <c:v>2300000</c:v>
                </c:pt>
                <c:pt idx="554">
                  <c:v>2400000</c:v>
                </c:pt>
                <c:pt idx="555">
                  <c:v>2500000</c:v>
                </c:pt>
                <c:pt idx="556">
                  <c:v>2600000</c:v>
                </c:pt>
                <c:pt idx="557">
                  <c:v>2700000</c:v>
                </c:pt>
                <c:pt idx="558">
                  <c:v>2800000</c:v>
                </c:pt>
                <c:pt idx="559">
                  <c:v>2900000</c:v>
                </c:pt>
                <c:pt idx="560">
                  <c:v>3000000</c:v>
                </c:pt>
                <c:pt idx="561">
                  <c:v>3100000</c:v>
                </c:pt>
                <c:pt idx="562">
                  <c:v>3200000</c:v>
                </c:pt>
                <c:pt idx="563">
                  <c:v>3300000</c:v>
                </c:pt>
                <c:pt idx="564">
                  <c:v>3400000</c:v>
                </c:pt>
                <c:pt idx="565">
                  <c:v>3500000</c:v>
                </c:pt>
                <c:pt idx="566">
                  <c:v>3600000</c:v>
                </c:pt>
                <c:pt idx="567">
                  <c:v>3700000</c:v>
                </c:pt>
                <c:pt idx="568">
                  <c:v>3800000</c:v>
                </c:pt>
                <c:pt idx="569">
                  <c:v>3900000</c:v>
                </c:pt>
                <c:pt idx="570">
                  <c:v>4000000</c:v>
                </c:pt>
                <c:pt idx="571">
                  <c:v>4100000</c:v>
                </c:pt>
                <c:pt idx="572">
                  <c:v>4200000</c:v>
                </c:pt>
                <c:pt idx="573">
                  <c:v>4300000</c:v>
                </c:pt>
                <c:pt idx="574">
                  <c:v>4400000</c:v>
                </c:pt>
                <c:pt idx="575">
                  <c:v>4500000</c:v>
                </c:pt>
                <c:pt idx="576">
                  <c:v>4600000</c:v>
                </c:pt>
                <c:pt idx="577">
                  <c:v>4700000</c:v>
                </c:pt>
                <c:pt idx="578">
                  <c:v>4800000</c:v>
                </c:pt>
                <c:pt idx="579">
                  <c:v>4900000</c:v>
                </c:pt>
                <c:pt idx="580">
                  <c:v>5000000</c:v>
                </c:pt>
                <c:pt idx="581">
                  <c:v>5100000</c:v>
                </c:pt>
                <c:pt idx="582">
                  <c:v>5200000</c:v>
                </c:pt>
                <c:pt idx="583">
                  <c:v>5300000</c:v>
                </c:pt>
                <c:pt idx="584">
                  <c:v>5400000</c:v>
                </c:pt>
                <c:pt idx="585">
                  <c:v>5500000</c:v>
                </c:pt>
                <c:pt idx="586">
                  <c:v>5600000</c:v>
                </c:pt>
                <c:pt idx="587">
                  <c:v>5700000</c:v>
                </c:pt>
                <c:pt idx="588">
                  <c:v>5800000</c:v>
                </c:pt>
                <c:pt idx="589">
                  <c:v>5900000</c:v>
                </c:pt>
                <c:pt idx="590">
                  <c:v>6000000</c:v>
                </c:pt>
                <c:pt idx="591">
                  <c:v>6100000</c:v>
                </c:pt>
                <c:pt idx="592">
                  <c:v>6200000</c:v>
                </c:pt>
                <c:pt idx="593">
                  <c:v>6300000</c:v>
                </c:pt>
                <c:pt idx="594">
                  <c:v>6400000</c:v>
                </c:pt>
                <c:pt idx="595">
                  <c:v>6500000</c:v>
                </c:pt>
                <c:pt idx="596">
                  <c:v>6600000</c:v>
                </c:pt>
                <c:pt idx="597">
                  <c:v>6700000</c:v>
                </c:pt>
                <c:pt idx="598">
                  <c:v>6800000</c:v>
                </c:pt>
                <c:pt idx="599">
                  <c:v>6900000</c:v>
                </c:pt>
                <c:pt idx="600">
                  <c:v>7000000</c:v>
                </c:pt>
                <c:pt idx="601">
                  <c:v>7100000</c:v>
                </c:pt>
                <c:pt idx="602">
                  <c:v>7200000</c:v>
                </c:pt>
                <c:pt idx="603">
                  <c:v>7300000</c:v>
                </c:pt>
                <c:pt idx="604">
                  <c:v>7400000</c:v>
                </c:pt>
                <c:pt idx="605">
                  <c:v>7500000</c:v>
                </c:pt>
                <c:pt idx="606">
                  <c:v>7600000</c:v>
                </c:pt>
                <c:pt idx="607">
                  <c:v>7700000</c:v>
                </c:pt>
                <c:pt idx="608">
                  <c:v>7800000</c:v>
                </c:pt>
                <c:pt idx="609">
                  <c:v>7900000</c:v>
                </c:pt>
                <c:pt idx="610">
                  <c:v>8000000</c:v>
                </c:pt>
                <c:pt idx="611">
                  <c:v>8100000</c:v>
                </c:pt>
                <c:pt idx="612">
                  <c:v>8200000</c:v>
                </c:pt>
                <c:pt idx="613">
                  <c:v>8300000</c:v>
                </c:pt>
                <c:pt idx="614">
                  <c:v>8400000</c:v>
                </c:pt>
                <c:pt idx="615">
                  <c:v>8500000</c:v>
                </c:pt>
                <c:pt idx="616">
                  <c:v>8600000</c:v>
                </c:pt>
                <c:pt idx="617">
                  <c:v>8700000</c:v>
                </c:pt>
                <c:pt idx="618">
                  <c:v>8800000</c:v>
                </c:pt>
                <c:pt idx="619">
                  <c:v>8900000</c:v>
                </c:pt>
                <c:pt idx="620">
                  <c:v>9000000</c:v>
                </c:pt>
                <c:pt idx="621">
                  <c:v>9100000</c:v>
                </c:pt>
                <c:pt idx="622">
                  <c:v>9200000</c:v>
                </c:pt>
                <c:pt idx="623">
                  <c:v>9300000</c:v>
                </c:pt>
                <c:pt idx="624">
                  <c:v>9400000</c:v>
                </c:pt>
                <c:pt idx="625">
                  <c:v>9500000</c:v>
                </c:pt>
                <c:pt idx="626">
                  <c:v>9600000</c:v>
                </c:pt>
                <c:pt idx="627">
                  <c:v>9700000</c:v>
                </c:pt>
                <c:pt idx="628">
                  <c:v>9800000</c:v>
                </c:pt>
                <c:pt idx="629">
                  <c:v>9900000</c:v>
                </c:pt>
                <c:pt idx="630">
                  <c:v>10000000</c:v>
                </c:pt>
              </c:numCache>
            </c:numRef>
          </c:xVal>
          <c:yVal>
            <c:numRef>
              <c:f>present_work_cylinder_3D!#REF!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51-437C-83DE-D47B3310C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20992"/>
        <c:axId val="173221568"/>
      </c:scatterChart>
      <c:scatterChart>
        <c:scatterStyle val="lineMarker"/>
        <c:varyColors val="0"/>
        <c:ser>
          <c:idx val="5"/>
          <c:order val="0"/>
          <c:tx>
            <c:v>Bn = 0.003 (cylindrical)</c:v>
          </c:tx>
          <c:spPr>
            <a:ln w="28575">
              <a:noFill/>
            </a:ln>
          </c:spPr>
          <c:xVal>
            <c:numRef>
              <c:f>present_work_cylinder_3D!$O$11:$O$16</c:f>
              <c:numCache>
                <c:formatCode>General</c:formatCode>
                <c:ptCount val="6"/>
                <c:pt idx="0">
                  <c:v>15976.920239960966</c:v>
                </c:pt>
                <c:pt idx="1">
                  <c:v>23641.484163843961</c:v>
                </c:pt>
                <c:pt idx="2">
                  <c:v>35413.514335210377</c:v>
                </c:pt>
                <c:pt idx="3">
                  <c:v>52754.628293743182</c:v>
                </c:pt>
                <c:pt idx="4">
                  <c:v>74158.294581324823</c:v>
                </c:pt>
                <c:pt idx="5">
                  <c:v>117718.95483056261</c:v>
                </c:pt>
              </c:numCache>
            </c:numRef>
          </c:xVal>
          <c:yVal>
            <c:numRef>
              <c:f>present_work_cylinder_3D!$J$11:$J$16</c:f>
              <c:numCache>
                <c:formatCode>General</c:formatCode>
                <c:ptCount val="6"/>
                <c:pt idx="0">
                  <c:v>3.8</c:v>
                </c:pt>
                <c:pt idx="1">
                  <c:v>4.1399999999999997</c:v>
                </c:pt>
                <c:pt idx="2">
                  <c:v>4.5539999999999994</c:v>
                </c:pt>
                <c:pt idx="3">
                  <c:v>4.9800000000000004</c:v>
                </c:pt>
                <c:pt idx="4">
                  <c:v>5.5</c:v>
                </c:pt>
                <c:pt idx="5">
                  <c:v>6.1999999999999993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51-437C-83DE-D47B3310C3AB}"/>
            </c:ext>
          </c:extLst>
        </c:ser>
        <c:ser>
          <c:idx val="0"/>
          <c:order val="1"/>
          <c:tx>
            <c:v>Bn = 0.01 (cylindrical)</c:v>
          </c:tx>
          <c:spPr>
            <a:ln w="28575">
              <a:noFill/>
            </a:ln>
          </c:spPr>
          <c:xVal>
            <c:numRef>
              <c:f>present_work_cylinder_3D!$O$19:$O$24</c:f>
              <c:numCache>
                <c:formatCode>General</c:formatCode>
                <c:ptCount val="6"/>
                <c:pt idx="0">
                  <c:v>2132.8903431315648</c:v>
                </c:pt>
                <c:pt idx="1">
                  <c:v>3156.0959504723546</c:v>
                </c:pt>
                <c:pt idx="2">
                  <c:v>4727.6409725699414</c:v>
                </c:pt>
                <c:pt idx="3">
                  <c:v>7042.6487428903229</c:v>
                </c:pt>
                <c:pt idx="4">
                  <c:v>9900</c:v>
                </c:pt>
                <c:pt idx="5">
                  <c:v>15715.27041448517</c:v>
                </c:pt>
              </c:numCache>
            </c:numRef>
          </c:xVal>
          <c:yVal>
            <c:numRef>
              <c:f>present_work_cylinder_3D!$J$19:$J$24</c:f>
              <c:numCache>
                <c:formatCode>General</c:formatCode>
                <c:ptCount val="6"/>
                <c:pt idx="0">
                  <c:v>2.6</c:v>
                </c:pt>
                <c:pt idx="1">
                  <c:v>2.8</c:v>
                </c:pt>
                <c:pt idx="2">
                  <c:v>3.1</c:v>
                </c:pt>
                <c:pt idx="3">
                  <c:v>3.4</c:v>
                </c:pt>
                <c:pt idx="4">
                  <c:v>3.8</c:v>
                </c:pt>
                <c:pt idx="5">
                  <c:v>4.4000000000000004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51-437C-83DE-D47B3310C3AB}"/>
            </c:ext>
          </c:extLst>
        </c:ser>
        <c:ser>
          <c:idx val="1"/>
          <c:order val="2"/>
          <c:tx>
            <c:v>Bn = 0.03 (cylindrical)</c:v>
          </c:tx>
          <c:spPr>
            <a:ln w="28575">
              <a:noFill/>
            </a:ln>
          </c:spPr>
          <c:xVal>
            <c:numRef>
              <c:f>present_work_cylinder_3D!$O$27:$O$32</c:f>
              <c:numCache>
                <c:formatCode>General</c:formatCode>
                <c:ptCount val="6"/>
                <c:pt idx="0">
                  <c:v>334.89061453058264</c:v>
                </c:pt>
                <c:pt idx="1">
                  <c:v>495.54676628116448</c:v>
                </c:pt>
                <c:pt idx="2">
                  <c:v>742.2991039751962</c:v>
                </c:pt>
                <c:pt idx="3">
                  <c:v>1105.7844455175975</c:v>
                </c:pt>
                <c:pt idx="4">
                  <c:v>1554.424536886874</c:v>
                </c:pt>
                <c:pt idx="5">
                  <c:v>2467.4951450594044</c:v>
                </c:pt>
              </c:numCache>
            </c:numRef>
          </c:xVal>
          <c:yVal>
            <c:numRef>
              <c:f>present_work_cylinder_3D!$J$27:$J$32</c:f>
              <c:numCache>
                <c:formatCode>General</c:formatCode>
                <c:ptCount val="6"/>
                <c:pt idx="0">
                  <c:v>1.9758800000000001</c:v>
                </c:pt>
                <c:pt idx="1">
                  <c:v>2.1565319999999999</c:v>
                </c:pt>
                <c:pt idx="2">
                  <c:v>2.3721760000000001</c:v>
                </c:pt>
                <c:pt idx="3">
                  <c:v>2.5047999999999999</c:v>
                </c:pt>
                <c:pt idx="4">
                  <c:v>2.798524</c:v>
                </c:pt>
                <c:pt idx="5">
                  <c:v>3.2399999999999998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51-437C-83DE-D47B3310C3AB}"/>
            </c:ext>
          </c:extLst>
        </c:ser>
        <c:ser>
          <c:idx val="2"/>
          <c:order val="3"/>
          <c:tx>
            <c:v>Bn = 0.1 (cylindrical)</c:v>
          </c:tx>
          <c:spPr>
            <a:ln w="28575">
              <a:noFill/>
            </a:ln>
          </c:spPr>
          <c:xVal>
            <c:numRef>
              <c:f>present_work_cylinder_3D!$O$35:$O$40</c:f>
              <c:numCache>
                <c:formatCode>General</c:formatCode>
                <c:ptCount val="6"/>
                <c:pt idx="0">
                  <c:v>41.774299502515007</c:v>
                </c:pt>
                <c:pt idx="1">
                  <c:v>61.814569097879918</c:v>
                </c:pt>
                <c:pt idx="2">
                  <c:v>92.594488302915963</c:v>
                </c:pt>
                <c:pt idx="3">
                  <c:v>137.93569783083953</c:v>
                </c:pt>
                <c:pt idx="4">
                  <c:v>193.89912210286954</c:v>
                </c:pt>
                <c:pt idx="5">
                  <c:v>307.79567040180541</c:v>
                </c:pt>
              </c:numCache>
            </c:numRef>
          </c:xVal>
          <c:yVal>
            <c:numRef>
              <c:f>present_work_cylinder_3D!$J$35:$J$40</c:f>
              <c:numCache>
                <c:formatCode>General</c:formatCode>
                <c:ptCount val="6"/>
                <c:pt idx="0">
                  <c:v>1.5453220000000001</c:v>
                </c:pt>
                <c:pt idx="1">
                  <c:v>1.6011570000000002</c:v>
                </c:pt>
                <c:pt idx="2">
                  <c:v>1.743913</c:v>
                </c:pt>
                <c:pt idx="3">
                  <c:v>1.8794490000000001</c:v>
                </c:pt>
                <c:pt idx="4">
                  <c:v>1.9921440000000001</c:v>
                </c:pt>
                <c:pt idx="5">
                  <c:v>2.2000000000000002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F51-437C-83DE-D47B3310C3AB}"/>
            </c:ext>
          </c:extLst>
        </c:ser>
        <c:ser>
          <c:idx val="3"/>
          <c:order val="4"/>
          <c:tx>
            <c:v>Bn = 0.3 (cylindrical)</c:v>
          </c:tx>
          <c:spPr>
            <a:ln w="28575">
              <a:noFill/>
            </a:ln>
          </c:spPr>
          <c:xVal>
            <c:numRef>
              <c:f>present_work_cylinder_3D!$O$43:$O$48</c:f>
              <c:numCache>
                <c:formatCode>General</c:formatCode>
                <c:ptCount val="6"/>
                <c:pt idx="0">
                  <c:v>5.2067007228613198</c:v>
                </c:pt>
                <c:pt idx="1">
                  <c:v>7.7044969140874642</c:v>
                </c:pt>
                <c:pt idx="2">
                  <c:v>11.540870700913636</c:v>
                </c:pt>
                <c:pt idx="3">
                  <c:v>17.19214699365514</c:v>
                </c:pt>
                <c:pt idx="4">
                  <c:v>24.16736393519669</c:v>
                </c:pt>
                <c:pt idx="5">
                  <c:v>38.363298934029537</c:v>
                </c:pt>
              </c:numCache>
            </c:numRef>
          </c:xVal>
          <c:yVal>
            <c:numRef>
              <c:f>present_work_cylinder_3D!$J$43:$J$48</c:f>
              <c:numCache>
                <c:formatCode>General</c:formatCode>
                <c:ptCount val="6"/>
                <c:pt idx="0">
                  <c:v>1.19</c:v>
                </c:pt>
                <c:pt idx="1">
                  <c:v>1.224</c:v>
                </c:pt>
                <c:pt idx="2">
                  <c:v>1.254</c:v>
                </c:pt>
                <c:pt idx="3">
                  <c:v>1.32</c:v>
                </c:pt>
                <c:pt idx="4">
                  <c:v>1.3800000000000001</c:v>
                </c:pt>
                <c:pt idx="5">
                  <c:v>1.5199999999999998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F51-437C-83DE-D47B3310C3AB}"/>
            </c:ext>
          </c:extLst>
        </c:ser>
        <c:ser>
          <c:idx val="6"/>
          <c:order val="5"/>
          <c:tx>
            <c:v>Bn = 0.003 (prismatic)</c:v>
          </c:tx>
          <c:spPr>
            <a:ln w="28575">
              <a:noFill/>
            </a:ln>
          </c:spPr>
          <c:xVal>
            <c:numRef>
              <c:f>present_work_cube_3D!$O$11:$O$16</c:f>
              <c:numCache>
                <c:formatCode>General</c:formatCode>
                <c:ptCount val="6"/>
                <c:pt idx="0">
                  <c:v>15976.929151046119</c:v>
                </c:pt>
                <c:pt idx="1">
                  <c:v>23641.497349819445</c:v>
                </c:pt>
                <c:pt idx="2">
                  <c:v>35413.534087004657</c:v>
                </c:pt>
                <c:pt idx="3">
                  <c:v>52754.657717498078</c:v>
                </c:pt>
                <c:pt idx="4">
                  <c:v>74158.335942918173</c:v>
                </c:pt>
                <c:pt idx="5">
                  <c:v>117719.02048799938</c:v>
                </c:pt>
              </c:numCache>
            </c:numRef>
          </c:xVal>
          <c:yVal>
            <c:numRef>
              <c:f>present_work_cube_3D!$J$11:$J$16</c:f>
              <c:numCache>
                <c:formatCode>General</c:formatCode>
                <c:ptCount val="6"/>
                <c:pt idx="0">
                  <c:v>4.0967446544148443</c:v>
                </c:pt>
                <c:pt idx="1">
                  <c:v>4.6702889060329227</c:v>
                </c:pt>
                <c:pt idx="2">
                  <c:v>5.2274461790333406</c:v>
                </c:pt>
                <c:pt idx="3">
                  <c:v>5.8173774092690786</c:v>
                </c:pt>
                <c:pt idx="4">
                  <c:v>6.2816751367694277</c:v>
                </c:pt>
                <c:pt idx="5">
                  <c:v>7.1010240676523964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F51-437C-83DE-D47B3310C3AB}"/>
            </c:ext>
          </c:extLst>
        </c:ser>
        <c:ser>
          <c:idx val="7"/>
          <c:order val="6"/>
          <c:tx>
            <c:v>Bn = 0.01 (prismatical)</c:v>
          </c:tx>
          <c:spPr>
            <a:ln w="28575">
              <a:noFill/>
            </a:ln>
          </c:spPr>
          <c:xVal>
            <c:numRef>
              <c:f>present_work_cube_3D!$O$19:$O$24</c:f>
              <c:numCache>
                <c:formatCode>General</c:formatCode>
                <c:ptCount val="6"/>
                <c:pt idx="0">
                  <c:v>2132.8915377984426</c:v>
                </c:pt>
                <c:pt idx="1">
                  <c:v>3156.0977182534825</c:v>
                </c:pt>
                <c:pt idx="2">
                  <c:v>4727.6436205992231</c:v>
                </c:pt>
                <c:pt idx="3">
                  <c:v>7042.6526875934414</c:v>
                </c:pt>
                <c:pt idx="4">
                  <c:v>9900.0055451524422</c:v>
                </c:pt>
                <c:pt idx="5">
                  <c:v>15715.279216865987</c:v>
                </c:pt>
              </c:numCache>
            </c:numRef>
          </c:xVal>
          <c:yVal>
            <c:numRef>
              <c:f>present_work_cube_3D!$J$19:$J$24</c:f>
              <c:numCache>
                <c:formatCode>General</c:formatCode>
                <c:ptCount val="6"/>
                <c:pt idx="0">
                  <c:v>3.0042794132375525</c:v>
                </c:pt>
                <c:pt idx="1">
                  <c:v>3.4412655097084692</c:v>
                </c:pt>
                <c:pt idx="2">
                  <c:v>3.7853920606793157</c:v>
                </c:pt>
                <c:pt idx="3">
                  <c:v>4.2196469940472898</c:v>
                </c:pt>
                <c:pt idx="4">
                  <c:v>4.5746981974299095</c:v>
                </c:pt>
                <c:pt idx="5">
                  <c:v>5.1892098955921355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F51-437C-83DE-D47B3310C3AB}"/>
            </c:ext>
          </c:extLst>
        </c:ser>
        <c:ser>
          <c:idx val="8"/>
          <c:order val="7"/>
          <c:tx>
            <c:v>Bn = 0.03 (prismatic)</c:v>
          </c:tx>
          <c:spPr>
            <a:ln w="28575">
              <a:noFill/>
            </a:ln>
          </c:spPr>
          <c:xVal>
            <c:numRef>
              <c:f>present_work_cube_3D!$O$27:$O$32</c:f>
              <c:numCache>
                <c:formatCode>General</c:formatCode>
                <c:ptCount val="6"/>
                <c:pt idx="0">
                  <c:v>334.89080443817943</c:v>
                </c:pt>
                <c:pt idx="1">
                  <c:v>495.54704729260931</c:v>
                </c:pt>
                <c:pt idx="2">
                  <c:v>742.29952491335575</c:v>
                </c:pt>
                <c:pt idx="3">
                  <c:v>1105.7850725786661</c:v>
                </c:pt>
                <c:pt idx="4">
                  <c:v>1554.4254183598548</c:v>
                </c:pt>
                <c:pt idx="5">
                  <c:v>2467.4965443105407</c:v>
                </c:pt>
              </c:numCache>
            </c:numRef>
          </c:xVal>
          <c:yVal>
            <c:numRef>
              <c:f>present_work_cube_3D!$J$27:$J$32</c:f>
              <c:numCache>
                <c:formatCode>General</c:formatCode>
                <c:ptCount val="6"/>
                <c:pt idx="0">
                  <c:v>2.2941770064723128</c:v>
                </c:pt>
                <c:pt idx="1">
                  <c:v>2.5072077285018848</c:v>
                </c:pt>
                <c:pt idx="2">
                  <c:v>2.8390440455094867</c:v>
                </c:pt>
                <c:pt idx="3">
                  <c:v>3.195460830443579</c:v>
                </c:pt>
                <c:pt idx="4">
                  <c:v>3.4139538786790369</c:v>
                </c:pt>
                <c:pt idx="5">
                  <c:v>3.8782516061793855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F51-437C-83DE-D47B3310C3AB}"/>
            </c:ext>
          </c:extLst>
        </c:ser>
        <c:ser>
          <c:idx val="9"/>
          <c:order val="8"/>
          <c:tx>
            <c:v>Bn = 0.1 (prismatic)</c:v>
          </c:tx>
          <c:spPr>
            <a:ln w="28575">
              <a:noFill/>
            </a:ln>
          </c:spPr>
          <c:xVal>
            <c:numRef>
              <c:f>present_work_cube_3D!$O$35:$O$40</c:f>
              <c:numCache>
                <c:formatCode>General</c:formatCode>
                <c:ptCount val="6"/>
                <c:pt idx="0">
                  <c:v>41.774324310532165</c:v>
                </c:pt>
                <c:pt idx="1">
                  <c:v>61.814605806978783</c:v>
                </c:pt>
                <c:pt idx="2">
                  <c:v>92.594543290927291</c:v>
                </c:pt>
                <c:pt idx="3">
                  <c:v>137.93577974510737</c:v>
                </c:pt>
                <c:pt idx="4">
                  <c:v>193.89923725148498</c:v>
                </c:pt>
                <c:pt idx="5">
                  <c:v>307.79585318883852</c:v>
                </c:pt>
              </c:numCache>
            </c:numRef>
          </c:xVal>
          <c:yVal>
            <c:numRef>
              <c:f>present_work_cube_3D!$J$35:$J$40</c:f>
              <c:numCache>
                <c:formatCode>General</c:formatCode>
                <c:ptCount val="6"/>
                <c:pt idx="0">
                  <c:v>1.6386978617659376</c:v>
                </c:pt>
                <c:pt idx="1">
                  <c:v>1.7697936907072127</c:v>
                </c:pt>
                <c:pt idx="2">
                  <c:v>1.9828244127367844</c:v>
                </c:pt>
                <c:pt idx="3">
                  <c:v>2.0975332630604004</c:v>
                </c:pt>
                <c:pt idx="4">
                  <c:v>2.1849304823545834</c:v>
                </c:pt>
                <c:pt idx="5">
                  <c:v>2.3488002685311771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F51-437C-83DE-D47B3310C3AB}"/>
            </c:ext>
          </c:extLst>
        </c:ser>
        <c:ser>
          <c:idx val="10"/>
          <c:order val="9"/>
          <c:tx>
            <c:v>Bn = 0.3 (prismatic)</c:v>
          </c:tx>
          <c:spPr>
            <a:ln w="28575">
              <a:noFill/>
            </a:ln>
          </c:spPr>
          <c:xVal>
            <c:numRef>
              <c:f>present_work_cube_3D!$O$43:$O$48</c:f>
              <c:numCache>
                <c:formatCode>General</c:formatCode>
                <c:ptCount val="6"/>
                <c:pt idx="0">
                  <c:v>5.206704367054642</c:v>
                </c:pt>
                <c:pt idx="1">
                  <c:v>7.7045023064996068</c:v>
                </c:pt>
                <c:pt idx="2">
                  <c:v>11.540878778421098</c:v>
                </c:pt>
                <c:pt idx="3">
                  <c:v>17.192159026516372</c:v>
                </c:pt>
                <c:pt idx="4">
                  <c:v>24.16738085004372</c:v>
                </c:pt>
                <c:pt idx="5">
                  <c:v>38.363325784675503</c:v>
                </c:pt>
              </c:numCache>
            </c:numRef>
          </c:xVal>
          <c:yVal>
            <c:numRef>
              <c:f>present_work_cube_3D!$J$43:$J$48</c:f>
              <c:numCache>
                <c:formatCode>General</c:formatCode>
                <c:ptCount val="6"/>
                <c:pt idx="0">
                  <c:v>1.1470885032361564</c:v>
                </c:pt>
                <c:pt idx="1">
                  <c:v>1.1798624604714751</c:v>
                </c:pt>
                <c:pt idx="2">
                  <c:v>1.261797353559772</c:v>
                </c:pt>
                <c:pt idx="3">
                  <c:v>1.3519257359568988</c:v>
                </c:pt>
                <c:pt idx="4">
                  <c:v>1.4202048135304792</c:v>
                </c:pt>
                <c:pt idx="5">
                  <c:v>1.502139706618776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F51-437C-83DE-D47B3310C3AB}"/>
            </c:ext>
          </c:extLst>
        </c:ser>
        <c:ser>
          <c:idx val="11"/>
          <c:order val="10"/>
          <c:tx>
            <c:v>Experiment - Gao and Fourie 2015</c:v>
          </c:tx>
          <c:spPr>
            <a:ln w="28575">
              <a:noFill/>
            </a:ln>
          </c:spPr>
          <c:marker>
            <c:spPr>
              <a:solidFill>
                <a:schemeClr val="accent6">
                  <a:lumMod val="40000"/>
                  <a:lumOff val="60000"/>
                </a:schemeClr>
              </a:solidFill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F51-437C-83DE-D47B3310C3AB}"/>
            </c:ext>
          </c:extLst>
        </c:ser>
        <c:ser>
          <c:idx val="12"/>
          <c:order val="11"/>
          <c:tx>
            <c:v>Experiment - Y. Liu et al. 2018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F51-437C-83DE-D47B3310C3AB}"/>
            </c:ext>
          </c:extLst>
        </c:ser>
        <c:ser>
          <c:idx val="13"/>
          <c:order val="12"/>
          <c:tx>
            <c:v>Experiment - present work</c:v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FFFF00"/>
              </a:solidFill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F51-437C-83DE-D47B3310C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20992"/>
        <c:axId val="173221568"/>
      </c:scatterChart>
      <c:valAx>
        <c:axId val="173220992"/>
        <c:scaling>
          <c:logBase val="10"/>
          <c:orientation val="minMax"/>
          <c:max val="1000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pt-BR" sz="2000" i="1"/>
                  <a:t>U</a:t>
                </a:r>
                <a:r>
                  <a:rPr lang="pt-BR" sz="2000" i="1" baseline="-25000"/>
                  <a:t>c </a:t>
                </a:r>
                <a:r>
                  <a:rPr lang="pt-BR" sz="2000"/>
                  <a:t>/ </a:t>
                </a:r>
                <a:r>
                  <a:rPr lang="pt-BR" sz="2000" i="1"/>
                  <a:t>U</a:t>
                </a:r>
                <a:r>
                  <a:rPr lang="pt-BR" sz="2000" i="1" baseline="-25000"/>
                  <a:t>cr</a:t>
                </a:r>
              </a:p>
            </c:rich>
          </c:tx>
          <c:layout>
            <c:manualLayout>
              <c:xMode val="edge"/>
              <c:yMode val="edge"/>
              <c:x val="0.42043941106758514"/>
              <c:y val="0.923595655500514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3221568"/>
        <c:crosses val="autoZero"/>
        <c:crossBetween val="midCat"/>
      </c:valAx>
      <c:valAx>
        <c:axId val="173221568"/>
        <c:scaling>
          <c:orientation val="minMax"/>
          <c:max val="1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pt-BR" sz="2000"/>
                  <a:t>r</a:t>
                </a:r>
                <a:r>
                  <a:rPr lang="pt-BR" sz="2400" baseline="-25000"/>
                  <a:t>∞</a:t>
                </a:r>
                <a:r>
                  <a:rPr lang="pt-BR" sz="2000"/>
                  <a:t>/r</a:t>
                </a:r>
                <a:r>
                  <a:rPr lang="pt-BR" sz="2000" baseline="-25000"/>
                  <a:t>0</a:t>
                </a:r>
                <a:endParaRPr lang="pt-BR" sz="2000"/>
              </a:p>
            </c:rich>
          </c:tx>
          <c:layout>
            <c:manualLayout>
              <c:xMode val="edge"/>
              <c:yMode val="edge"/>
              <c:x val="8.4909546073954657E-3"/>
              <c:y val="0.40624919605416243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1732209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645619</xdr:colOff>
      <xdr:row>50</xdr:row>
      <xdr:rowOff>169757</xdr:rowOff>
    </xdr:from>
    <xdr:to>
      <xdr:col>16</xdr:col>
      <xdr:colOff>605403</xdr:colOff>
      <xdr:row>79</xdr:row>
      <xdr:rowOff>3750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632"/>
  <sheetViews>
    <sheetView tabSelected="1" zoomScale="85" zoomScaleNormal="85" workbookViewId="0">
      <selection activeCell="D7" sqref="D7"/>
    </sheetView>
  </sheetViews>
  <sheetFormatPr baseColWidth="10" defaultColWidth="8.88671875" defaultRowHeight="14.4" x14ac:dyDescent="0.3"/>
  <cols>
    <col min="1" max="1" width="9.109375" style="1"/>
    <col min="2" max="2" width="11.6640625" bestFit="1" customWidth="1"/>
    <col min="3" max="3" width="13.44140625" bestFit="1" customWidth="1"/>
    <col min="4" max="4" width="11.44140625" bestFit="1" customWidth="1"/>
    <col min="5" max="5" width="12.109375" customWidth="1"/>
    <col min="6" max="6" width="11.6640625" bestFit="1" customWidth="1"/>
    <col min="7" max="7" width="13.44140625" bestFit="1" customWidth="1"/>
    <col min="8" max="8" width="11.44140625" bestFit="1" customWidth="1"/>
    <col min="9" max="9" width="12.109375" customWidth="1"/>
    <col min="10" max="10" width="11.6640625" bestFit="1" customWidth="1"/>
    <col min="11" max="11" width="13.44140625" bestFit="1" customWidth="1"/>
    <col min="12" max="12" width="12.6640625" customWidth="1"/>
    <col min="13" max="13" width="12.6640625" style="1" customWidth="1"/>
    <col min="14" max="14" width="12.5546875" customWidth="1"/>
    <col min="15" max="15" width="13.44140625" bestFit="1" customWidth="1"/>
    <col min="16" max="16" width="17.33203125" bestFit="1" customWidth="1"/>
    <col min="17" max="17" width="12.33203125" bestFit="1" customWidth="1"/>
    <col min="18" max="18" width="14.109375" customWidth="1"/>
    <col min="19" max="19" width="13.44140625" bestFit="1" customWidth="1"/>
    <col min="20" max="20" width="11.44140625" bestFit="1" customWidth="1"/>
    <col min="21" max="21" width="14.88671875" customWidth="1"/>
    <col min="22" max="22" width="24" bestFit="1" customWidth="1"/>
    <col min="23" max="24" width="21.44140625" bestFit="1" customWidth="1"/>
    <col min="25" max="25" width="18.44140625" bestFit="1" customWidth="1"/>
    <col min="26" max="26" width="23.88671875" style="24" bestFit="1" customWidth="1"/>
    <col min="27" max="27" width="18.44140625" style="24" customWidth="1"/>
    <col min="28" max="29" width="12.33203125" bestFit="1" customWidth="1"/>
    <col min="30" max="30" width="12" bestFit="1" customWidth="1"/>
    <col min="32" max="32" width="11.6640625" bestFit="1" customWidth="1"/>
  </cols>
  <sheetData>
    <row r="1" spans="2:32" ht="24.6" thickBot="1" x14ac:dyDescent="0.35">
      <c r="B1" s="33" t="s">
        <v>18</v>
      </c>
      <c r="C1" s="34"/>
      <c r="D1" s="35"/>
      <c r="F1" s="33" t="s">
        <v>3</v>
      </c>
      <c r="G1" s="34"/>
      <c r="H1" s="35"/>
      <c r="J1" s="33" t="s">
        <v>4</v>
      </c>
      <c r="K1" s="34"/>
      <c r="L1" s="35"/>
      <c r="M1" s="16"/>
      <c r="N1" s="33" t="s">
        <v>5</v>
      </c>
      <c r="O1" s="34"/>
      <c r="P1" s="35"/>
      <c r="Q1" s="1"/>
      <c r="R1" s="33" t="s">
        <v>17</v>
      </c>
      <c r="S1" s="34"/>
      <c r="T1" s="35"/>
      <c r="V1" s="1"/>
      <c r="AC1" s="12" t="s">
        <v>24</v>
      </c>
      <c r="AD1" s="12" t="s">
        <v>34</v>
      </c>
      <c r="AF1" s="16"/>
    </row>
    <row r="2" spans="2:32" ht="15" thickBot="1" x14ac:dyDescent="0.35">
      <c r="B2" s="4" t="s">
        <v>0</v>
      </c>
      <c r="C2" s="4" t="s">
        <v>1</v>
      </c>
      <c r="D2" s="5" t="s">
        <v>2</v>
      </c>
      <c r="F2" s="4" t="s">
        <v>0</v>
      </c>
      <c r="G2" s="4" t="s">
        <v>1</v>
      </c>
      <c r="H2" s="5" t="s">
        <v>2</v>
      </c>
      <c r="J2" s="4" t="s">
        <v>0</v>
      </c>
      <c r="K2" s="4" t="s">
        <v>1</v>
      </c>
      <c r="L2" s="5" t="s">
        <v>2</v>
      </c>
      <c r="M2" s="23"/>
      <c r="N2" s="4" t="s">
        <v>0</v>
      </c>
      <c r="O2" s="4" t="s">
        <v>1</v>
      </c>
      <c r="P2" s="5" t="s">
        <v>2</v>
      </c>
      <c r="Q2" s="1"/>
      <c r="R2" s="4" t="s">
        <v>0</v>
      </c>
      <c r="S2" s="4" t="s">
        <v>1</v>
      </c>
      <c r="T2" s="5" t="s">
        <v>2</v>
      </c>
      <c r="V2" s="1"/>
      <c r="AC2" s="31">
        <v>1</v>
      </c>
      <c r="AD2" s="31">
        <f>(((EXP(-0.000003*AC2))*(((AC2^0.2)+1)/(AC2^0.2) - 1)))^(1)</f>
        <v>0.99999700000449998</v>
      </c>
      <c r="AF2" s="32"/>
    </row>
    <row r="3" spans="2:32" x14ac:dyDescent="0.3">
      <c r="B3" s="3">
        <v>1</v>
      </c>
      <c r="C3" s="3">
        <f>((3.8)/E11)-1</f>
        <v>2.8</v>
      </c>
      <c r="D3" s="3">
        <v>0.14000000000000001</v>
      </c>
      <c r="F3" s="3">
        <v>1</v>
      </c>
      <c r="G3" s="3">
        <v>1.6</v>
      </c>
      <c r="H3" s="3">
        <v>0.25</v>
      </c>
      <c r="J3" s="3">
        <v>1</v>
      </c>
      <c r="K3" s="3">
        <v>0.97587999999999997</v>
      </c>
      <c r="L3" s="3">
        <v>0.37</v>
      </c>
      <c r="M3" s="20"/>
      <c r="N3" s="3">
        <v>1</v>
      </c>
      <c r="O3" s="3">
        <v>0.54532199999999997</v>
      </c>
      <c r="P3" s="3">
        <v>0.6</v>
      </c>
      <c r="Q3" s="1"/>
      <c r="R3" s="3">
        <v>1</v>
      </c>
      <c r="S3" s="2">
        <f>((1.19)/E43)-1</f>
        <v>0.18999999999999995</v>
      </c>
      <c r="T3" s="3">
        <f>(0.8)/D43</f>
        <v>0.8</v>
      </c>
      <c r="V3" s="1"/>
      <c r="AC3" s="30">
        <v>1.1000000000000001</v>
      </c>
      <c r="AD3" s="31">
        <f t="shared" ref="AD3:AD66" si="0">(((EXP(-0.000003*AC3))*(((AC3^0.2)+1)/(AC3^0.2) - 1)))^(1)</f>
        <v>0.98111525804057098</v>
      </c>
      <c r="AF3" s="32"/>
    </row>
    <row r="4" spans="2:32" x14ac:dyDescent="0.3">
      <c r="B4" s="2">
        <v>1.8</v>
      </c>
      <c r="C4" s="3">
        <f>((2.3)/E12)-1</f>
        <v>3.1399999999999997</v>
      </c>
      <c r="D4" s="2">
        <v>0.12</v>
      </c>
      <c r="F4" s="2">
        <v>1.8</v>
      </c>
      <c r="G4" s="2">
        <v>1.8</v>
      </c>
      <c r="H4" s="2">
        <v>0.21</v>
      </c>
      <c r="J4" s="2">
        <v>1.8</v>
      </c>
      <c r="K4" s="2">
        <v>1.1565319999999999</v>
      </c>
      <c r="L4" s="2">
        <v>0.33</v>
      </c>
      <c r="M4" s="20"/>
      <c r="N4" s="2">
        <v>1.8</v>
      </c>
      <c r="O4" s="2">
        <v>0.60115700000000005</v>
      </c>
      <c r="P4" s="2">
        <v>0.47673300000000002</v>
      </c>
      <c r="Q4" s="1"/>
      <c r="R4" s="2">
        <v>1.8</v>
      </c>
      <c r="S4" s="2">
        <f>((0.68)/E44)-1</f>
        <v>0.22399999999999998</v>
      </c>
      <c r="T4" s="2">
        <f>(0.75)/D44</f>
        <v>0.75</v>
      </c>
      <c r="V4" s="1"/>
      <c r="AC4" s="30">
        <v>1.2</v>
      </c>
      <c r="AD4" s="31">
        <f t="shared" si="0"/>
        <v>0.964189032915861</v>
      </c>
      <c r="AF4" s="32"/>
    </row>
    <row r="5" spans="2:32" x14ac:dyDescent="0.3">
      <c r="B5" s="2">
        <v>3.3</v>
      </c>
      <c r="C5" s="3">
        <f>((1.38)/E13)-1</f>
        <v>3.5539999999999994</v>
      </c>
      <c r="D5" s="2">
        <v>0.11</v>
      </c>
      <c r="F5" s="2">
        <v>3.3</v>
      </c>
      <c r="G5" s="2">
        <v>2.1</v>
      </c>
      <c r="H5" s="2">
        <v>0.17415700000000001</v>
      </c>
      <c r="J5" s="2">
        <v>3.3</v>
      </c>
      <c r="K5" s="2">
        <v>1.3721760000000001</v>
      </c>
      <c r="L5" s="2">
        <v>0.26826100000000003</v>
      </c>
      <c r="M5" s="20"/>
      <c r="N5" s="2">
        <v>3.3</v>
      </c>
      <c r="O5" s="2">
        <v>0.74391300000000005</v>
      </c>
      <c r="P5" s="2">
        <v>0.42</v>
      </c>
      <c r="Q5" s="1"/>
      <c r="R5" s="2">
        <v>3.3</v>
      </c>
      <c r="S5" s="3">
        <f>((0.38)/E45)-1</f>
        <v>0.254</v>
      </c>
      <c r="T5" s="3">
        <f>(0.71)/D45</f>
        <v>0.71</v>
      </c>
      <c r="V5" s="1"/>
      <c r="AC5" s="30">
        <v>1.3</v>
      </c>
      <c r="AD5" s="31">
        <f t="shared" si="0"/>
        <v>0.94887637942965319</v>
      </c>
      <c r="AF5" s="32"/>
    </row>
    <row r="6" spans="2:32" x14ac:dyDescent="0.3">
      <c r="B6" s="2">
        <v>6</v>
      </c>
      <c r="C6" s="3">
        <f>((0.83)/E14)-1</f>
        <v>3.9800000000000004</v>
      </c>
      <c r="D6" s="2">
        <v>9.5000000000000001E-2</v>
      </c>
      <c r="F6" s="2">
        <v>6</v>
      </c>
      <c r="G6" s="2">
        <v>2.4</v>
      </c>
      <c r="H6" s="2">
        <v>0.13266800000000001</v>
      </c>
      <c r="J6" s="2">
        <v>6</v>
      </c>
      <c r="K6" s="2">
        <v>1.5047999999999999</v>
      </c>
      <c r="L6" s="2">
        <v>0.22</v>
      </c>
      <c r="M6" s="20"/>
      <c r="N6" s="2">
        <v>6</v>
      </c>
      <c r="O6" s="2">
        <v>0.87944900000000004</v>
      </c>
      <c r="P6" s="2">
        <v>0.37</v>
      </c>
      <c r="Q6" s="1"/>
      <c r="R6" s="2">
        <v>6</v>
      </c>
      <c r="S6" s="2">
        <f>((0.22)/E46)-1</f>
        <v>0.32000000000000006</v>
      </c>
      <c r="T6" s="2">
        <f>(0.667)/D46</f>
        <v>0.66700000000000004</v>
      </c>
      <c r="V6" s="1"/>
      <c r="AC6" s="30">
        <v>1.4</v>
      </c>
      <c r="AD6" s="31">
        <f t="shared" si="0"/>
        <v>0.93491594949323642</v>
      </c>
      <c r="AF6" s="32"/>
    </row>
    <row r="7" spans="2:32" x14ac:dyDescent="0.3">
      <c r="B7" s="2">
        <v>10</v>
      </c>
      <c r="C7" s="3">
        <f>((0.55)/E15)-1</f>
        <v>4.5</v>
      </c>
      <c r="D7" s="2">
        <v>8.5000000000000006E-2</v>
      </c>
      <c r="F7" s="2">
        <v>10</v>
      </c>
      <c r="G7" s="2">
        <v>2.8</v>
      </c>
      <c r="H7" s="2">
        <v>0.10656</v>
      </c>
      <c r="J7" s="2">
        <v>10</v>
      </c>
      <c r="K7" s="2">
        <v>1.798524</v>
      </c>
      <c r="L7" s="2">
        <v>0.19700000000000001</v>
      </c>
      <c r="M7" s="20"/>
      <c r="N7" s="2">
        <v>10</v>
      </c>
      <c r="O7" s="2">
        <v>0.99214400000000003</v>
      </c>
      <c r="P7" s="2">
        <v>0.34</v>
      </c>
      <c r="Q7" s="1"/>
      <c r="R7" s="2">
        <v>10</v>
      </c>
      <c r="S7" s="2">
        <f>((0.138)/E47)-1</f>
        <v>0.38000000000000012</v>
      </c>
      <c r="T7" s="2">
        <f>(0.649)/D47</f>
        <v>0.64900000000000002</v>
      </c>
      <c r="V7" s="1"/>
      <c r="AC7" s="30">
        <v>1.5</v>
      </c>
      <c r="AD7" s="31">
        <f t="shared" si="0"/>
        <v>0.92210376200546229</v>
      </c>
      <c r="AF7" s="32"/>
    </row>
    <row r="8" spans="2:32" x14ac:dyDescent="0.3">
      <c r="B8" s="15">
        <v>20</v>
      </c>
      <c r="C8" s="3">
        <f>((0.31)/E16)-1</f>
        <v>5.1999999999999993</v>
      </c>
      <c r="D8" s="15">
        <v>7.5999999999999998E-2</v>
      </c>
      <c r="F8" s="15">
        <v>20</v>
      </c>
      <c r="G8" s="6">
        <v>3.4</v>
      </c>
      <c r="H8" s="15">
        <v>8.5000000000000006E-2</v>
      </c>
      <c r="J8" s="15">
        <v>20</v>
      </c>
      <c r="K8" s="6">
        <f>(0.162-0.05)/0.05</f>
        <v>2.2399999999999998</v>
      </c>
      <c r="L8" s="15">
        <v>0.18</v>
      </c>
      <c r="M8" s="21"/>
      <c r="N8" s="15">
        <v>20</v>
      </c>
      <c r="O8" s="6">
        <f>(0.11-0.05)/0.05</f>
        <v>1.2</v>
      </c>
      <c r="P8" s="15">
        <v>0.3</v>
      </c>
      <c r="R8" s="15">
        <v>20</v>
      </c>
      <c r="S8" s="6">
        <f>((0.076)/E48)-1</f>
        <v>0.5199999999999998</v>
      </c>
      <c r="T8" s="15">
        <f>(0.634)/D48</f>
        <v>0.63400000000000001</v>
      </c>
      <c r="V8" s="1"/>
      <c r="AC8" s="30">
        <v>1.6</v>
      </c>
      <c r="AD8" s="31">
        <f t="shared" si="0"/>
        <v>0.91027773216943919</v>
      </c>
      <c r="AF8" s="32"/>
    </row>
    <row r="9" spans="2:32" ht="15" thickBot="1" x14ac:dyDescent="0.35">
      <c r="AC9" s="30">
        <v>1.7</v>
      </c>
      <c r="AD9" s="31">
        <f t="shared" si="0"/>
        <v>0.89930705579989456</v>
      </c>
      <c r="AF9" s="32"/>
    </row>
    <row r="10" spans="2:32" ht="20.399999999999999" thickBot="1" x14ac:dyDescent="0.35">
      <c r="B10" s="12" t="s">
        <v>12</v>
      </c>
      <c r="C10" s="12" t="s">
        <v>14</v>
      </c>
      <c r="D10" s="12" t="s">
        <v>15</v>
      </c>
      <c r="E10" s="12" t="s">
        <v>22</v>
      </c>
      <c r="F10" s="12" t="s">
        <v>13</v>
      </c>
      <c r="G10" s="12" t="s">
        <v>26</v>
      </c>
      <c r="H10" s="12" t="s">
        <v>10</v>
      </c>
      <c r="I10" s="28" t="s">
        <v>8</v>
      </c>
      <c r="J10" s="12" t="s">
        <v>31</v>
      </c>
      <c r="K10" s="12" t="s">
        <v>32</v>
      </c>
      <c r="L10" s="12" t="s">
        <v>33</v>
      </c>
      <c r="M10" s="12" t="s">
        <v>16</v>
      </c>
      <c r="N10" s="12" t="s">
        <v>23</v>
      </c>
      <c r="O10" s="12" t="s">
        <v>24</v>
      </c>
      <c r="P10" s="22" t="s">
        <v>25</v>
      </c>
      <c r="Q10" s="29" t="s">
        <v>9</v>
      </c>
      <c r="R10" s="12" t="s">
        <v>28</v>
      </c>
      <c r="S10" s="12" t="s">
        <v>21</v>
      </c>
      <c r="T10" s="12" t="s">
        <v>6</v>
      </c>
      <c r="U10" s="12" t="s">
        <v>7</v>
      </c>
      <c r="V10" s="12" t="s">
        <v>20</v>
      </c>
      <c r="W10" s="12" t="s">
        <v>19</v>
      </c>
      <c r="X10" s="12" t="s">
        <v>27</v>
      </c>
      <c r="Y10" s="12" t="s">
        <v>11</v>
      </c>
      <c r="Z10" s="12" t="s">
        <v>29</v>
      </c>
      <c r="AA10" s="12" t="s">
        <v>30</v>
      </c>
      <c r="AC10" s="30">
        <v>1.8</v>
      </c>
      <c r="AD10" s="31">
        <f t="shared" si="0"/>
        <v>0.88908473506166774</v>
      </c>
      <c r="AF10" s="32"/>
    </row>
    <row r="11" spans="2:32" x14ac:dyDescent="0.3">
      <c r="B11" s="7">
        <v>1000</v>
      </c>
      <c r="C11" s="7">
        <v>1E-3</v>
      </c>
      <c r="D11" s="8">
        <v>1</v>
      </c>
      <c r="E11" s="7">
        <f t="shared" ref="E11:E16" si="1">D11/I11</f>
        <v>1</v>
      </c>
      <c r="F11" s="7">
        <v>1</v>
      </c>
      <c r="G11" s="14">
        <v>1</v>
      </c>
      <c r="H11" s="7">
        <v>3.0000000000000001E-3</v>
      </c>
      <c r="I11" s="9">
        <f>1</f>
        <v>1</v>
      </c>
      <c r="J11" s="7">
        <f t="shared" ref="J11:J16" si="2">C3+1</f>
        <v>3.8</v>
      </c>
      <c r="K11" s="7">
        <f t="shared" ref="K11:K16" si="3">J11-1</f>
        <v>2.8</v>
      </c>
      <c r="L11" s="7">
        <f t="shared" ref="L11:L16" si="4">D3</f>
        <v>0.14000000000000001</v>
      </c>
      <c r="M11" s="7">
        <f t="shared" ref="M11:M16" si="5">(((Q11-H11)*(D11^G11))/(F11))^(1/G11)</f>
        <v>0.997</v>
      </c>
      <c r="N11" s="7">
        <f t="shared" ref="N11:N16" si="6">(((H11^(((2*G11)+3)/3))*(D11^G11)*(1/F11))/((Q11*I11)^(2*G11/3)))^(1/G11)</f>
        <v>6.2402514691557091E-5</v>
      </c>
      <c r="O11" s="7">
        <f t="shared" ref="O11:O16" si="7">M11/N11</f>
        <v>15976.920239960966</v>
      </c>
      <c r="P11" s="11">
        <f t="shared" ref="P11:P16" si="8">D11/M11</f>
        <v>1.0030090270812437</v>
      </c>
      <c r="Q11" s="11">
        <f t="shared" ref="Q11:Q16" si="9">B11*C11*D11</f>
        <v>1</v>
      </c>
      <c r="R11" s="7">
        <f t="shared" ref="R11:R16" si="10">F11*((M11/D11)^(G11))</f>
        <v>0.997</v>
      </c>
      <c r="S11" s="7">
        <f t="shared" ref="S11:S16" si="11">C11*M11*M11</f>
        <v>9.9400900000000013E-4</v>
      </c>
      <c r="T11" s="7">
        <f t="shared" ref="T11:T16" si="12">Q11/R11</f>
        <v>1.0030090270812437</v>
      </c>
      <c r="U11" s="19">
        <f t="shared" ref="U11:U16" si="13">H11/Q11</f>
        <v>3.0000000000000001E-3</v>
      </c>
      <c r="V11" s="7">
        <f t="shared" ref="V11:V16" si="14">S11/Q11</f>
        <v>9.9400900000000013E-4</v>
      </c>
      <c r="W11" s="7">
        <f t="shared" ref="W11:W16" si="15">S11/R11</f>
        <v>9.9700000000000006E-4</v>
      </c>
      <c r="X11" s="7">
        <f t="shared" ref="X11:X16" si="16">(T11*I11)^((1)/((2*G11)+3))</f>
        <v>1.0006010823817169</v>
      </c>
      <c r="Y11" s="7">
        <f t="shared" ref="Y11:Y16" si="17">((1/U11)*I11)^(1/3)</f>
        <v>6.9336127435063482</v>
      </c>
      <c r="Z11" s="7">
        <f t="shared" ref="Z11:Z16" si="18">((1/T11)*(1/I11))^((2)/((2*G11)+3))</f>
        <v>0.9987989182686231</v>
      </c>
      <c r="AA11" s="7">
        <f t="shared" ref="AA11:AA16" si="19">((U11)*(1/I11))^(2/3)</f>
        <v>2.0800838230519036E-2</v>
      </c>
      <c r="AC11" s="30">
        <v>1.9</v>
      </c>
      <c r="AD11" s="31">
        <f t="shared" si="0"/>
        <v>0.8795221967229494</v>
      </c>
      <c r="AF11" s="32"/>
    </row>
    <row r="12" spans="2:32" x14ac:dyDescent="0.3">
      <c r="B12" s="6">
        <v>1000</v>
      </c>
      <c r="C12" s="6">
        <v>1E-3</v>
      </c>
      <c r="D12" s="6">
        <v>1</v>
      </c>
      <c r="E12" s="6">
        <f t="shared" si="1"/>
        <v>0.55555555555555558</v>
      </c>
      <c r="F12" s="6">
        <v>1</v>
      </c>
      <c r="G12" s="13">
        <v>1</v>
      </c>
      <c r="H12" s="6">
        <v>3.0000000000000001E-3</v>
      </c>
      <c r="I12" s="10">
        <v>1.8</v>
      </c>
      <c r="J12" s="7">
        <f t="shared" si="2"/>
        <v>4.1399999999999997</v>
      </c>
      <c r="K12" s="7">
        <f t="shared" si="3"/>
        <v>3.1399999999999997</v>
      </c>
      <c r="L12" s="7">
        <f t="shared" si="4"/>
        <v>0.12</v>
      </c>
      <c r="M12" s="7">
        <f t="shared" si="5"/>
        <v>0.997</v>
      </c>
      <c r="N12" s="7">
        <f t="shared" si="6"/>
        <v>4.2171633265087443E-5</v>
      </c>
      <c r="O12" s="7">
        <f t="shared" si="7"/>
        <v>23641.484163843961</v>
      </c>
      <c r="P12" s="11">
        <f t="shared" si="8"/>
        <v>1.0030090270812437</v>
      </c>
      <c r="Q12" s="11">
        <f t="shared" si="9"/>
        <v>1</v>
      </c>
      <c r="R12" s="7">
        <f t="shared" si="10"/>
        <v>0.997</v>
      </c>
      <c r="S12" s="7">
        <f t="shared" si="11"/>
        <v>9.9400900000000013E-4</v>
      </c>
      <c r="T12" s="7">
        <f t="shared" si="12"/>
        <v>1.0030090270812437</v>
      </c>
      <c r="U12" s="19">
        <f t="shared" si="13"/>
        <v>3.0000000000000001E-3</v>
      </c>
      <c r="V12" s="7">
        <f t="shared" si="14"/>
        <v>9.9400900000000013E-4</v>
      </c>
      <c r="W12" s="7">
        <f t="shared" si="15"/>
        <v>9.9700000000000006E-4</v>
      </c>
      <c r="X12" s="7">
        <f t="shared" si="16"/>
        <v>1.125422178214609</v>
      </c>
      <c r="Y12" s="7">
        <f t="shared" si="17"/>
        <v>8.434326653017493</v>
      </c>
      <c r="Z12" s="7">
        <f t="shared" si="18"/>
        <v>0.7895307719286202</v>
      </c>
      <c r="AA12" s="7">
        <f t="shared" si="19"/>
        <v>1.4057211088362487E-2</v>
      </c>
      <c r="AC12" s="30">
        <v>2</v>
      </c>
      <c r="AD12" s="31">
        <f t="shared" si="0"/>
        <v>0.87054534000841399</v>
      </c>
      <c r="AF12" s="32"/>
    </row>
    <row r="13" spans="2:32" x14ac:dyDescent="0.3">
      <c r="B13" s="6">
        <v>1000</v>
      </c>
      <c r="C13" s="6">
        <v>1E-3</v>
      </c>
      <c r="D13" s="6">
        <v>1</v>
      </c>
      <c r="E13" s="6">
        <f t="shared" si="1"/>
        <v>0.30303030303030304</v>
      </c>
      <c r="F13" s="6">
        <v>1</v>
      </c>
      <c r="G13" s="13">
        <v>1</v>
      </c>
      <c r="H13" s="6">
        <v>3.0000000000000001E-3</v>
      </c>
      <c r="I13" s="10">
        <v>3.3</v>
      </c>
      <c r="J13" s="7">
        <f t="shared" si="2"/>
        <v>4.5539999999999994</v>
      </c>
      <c r="K13" s="7">
        <f t="shared" si="3"/>
        <v>3.5539999999999994</v>
      </c>
      <c r="L13" s="7">
        <f t="shared" si="4"/>
        <v>0.11</v>
      </c>
      <c r="M13" s="7">
        <f t="shared" si="5"/>
        <v>0.997</v>
      </c>
      <c r="N13" s="7">
        <f t="shared" si="6"/>
        <v>2.8153094057900913E-5</v>
      </c>
      <c r="O13" s="7">
        <f t="shared" si="7"/>
        <v>35413.514335210377</v>
      </c>
      <c r="P13" s="11">
        <f t="shared" si="8"/>
        <v>1.0030090270812437</v>
      </c>
      <c r="Q13" s="11">
        <f t="shared" si="9"/>
        <v>1</v>
      </c>
      <c r="R13" s="7">
        <f t="shared" si="10"/>
        <v>0.997</v>
      </c>
      <c r="S13" s="7">
        <f t="shared" si="11"/>
        <v>9.9400900000000013E-4</v>
      </c>
      <c r="T13" s="7">
        <f t="shared" si="12"/>
        <v>1.0030090270812437</v>
      </c>
      <c r="U13" s="19">
        <f t="shared" si="13"/>
        <v>3.0000000000000001E-3</v>
      </c>
      <c r="V13" s="7">
        <f t="shared" si="14"/>
        <v>9.9400900000000013E-4</v>
      </c>
      <c r="W13" s="7">
        <f t="shared" si="15"/>
        <v>9.9700000000000006E-4</v>
      </c>
      <c r="X13" s="7">
        <f t="shared" si="16"/>
        <v>1.2704680749219635</v>
      </c>
      <c r="Y13" s="7">
        <f t="shared" si="17"/>
        <v>10.322801154563667</v>
      </c>
      <c r="Z13" s="7">
        <f t="shared" si="18"/>
        <v>0.61954447359065878</v>
      </c>
      <c r="AA13" s="7">
        <f t="shared" si="19"/>
        <v>9.3843646859669821E-3</v>
      </c>
      <c r="AC13" s="30">
        <v>2.1</v>
      </c>
      <c r="AD13" s="31">
        <f t="shared" si="0"/>
        <v>0.86209158320393919</v>
      </c>
      <c r="AF13" s="32"/>
    </row>
    <row r="14" spans="2:32" x14ac:dyDescent="0.3">
      <c r="B14" s="6">
        <v>1000</v>
      </c>
      <c r="C14" s="6">
        <v>1E-3</v>
      </c>
      <c r="D14" s="6">
        <v>1</v>
      </c>
      <c r="E14" s="6">
        <f t="shared" si="1"/>
        <v>0.16666666666666666</v>
      </c>
      <c r="F14" s="6">
        <v>1</v>
      </c>
      <c r="G14" s="13">
        <v>1</v>
      </c>
      <c r="H14" s="6">
        <v>3.0000000000000001E-3</v>
      </c>
      <c r="I14" s="10">
        <v>6</v>
      </c>
      <c r="J14" s="7">
        <f t="shared" si="2"/>
        <v>4.9800000000000004</v>
      </c>
      <c r="K14" s="7">
        <f t="shared" si="3"/>
        <v>3.9800000000000004</v>
      </c>
      <c r="L14" s="7">
        <f t="shared" si="4"/>
        <v>9.5000000000000001E-2</v>
      </c>
      <c r="M14" s="7">
        <f t="shared" si="5"/>
        <v>0.997</v>
      </c>
      <c r="N14" s="7">
        <f t="shared" si="6"/>
        <v>1.889881574842309E-5</v>
      </c>
      <c r="O14" s="7">
        <f t="shared" si="7"/>
        <v>52754.628293743182</v>
      </c>
      <c r="P14" s="11">
        <f t="shared" si="8"/>
        <v>1.0030090270812437</v>
      </c>
      <c r="Q14" s="11">
        <f t="shared" si="9"/>
        <v>1</v>
      </c>
      <c r="R14" s="7">
        <f t="shared" si="10"/>
        <v>0.997</v>
      </c>
      <c r="S14" s="7">
        <f t="shared" si="11"/>
        <v>9.9400900000000013E-4</v>
      </c>
      <c r="T14" s="7">
        <f t="shared" si="12"/>
        <v>1.0030090270812437</v>
      </c>
      <c r="U14" s="19">
        <f t="shared" si="13"/>
        <v>3.0000000000000001E-3</v>
      </c>
      <c r="V14" s="7">
        <f t="shared" si="14"/>
        <v>9.9400900000000013E-4</v>
      </c>
      <c r="W14" s="7">
        <f t="shared" si="15"/>
        <v>9.9700000000000006E-4</v>
      </c>
      <c r="X14" s="7">
        <f t="shared" si="16"/>
        <v>1.4318292114086895</v>
      </c>
      <c r="Y14" s="7">
        <f t="shared" si="17"/>
        <v>12.599210498948731</v>
      </c>
      <c r="Z14" s="7">
        <f t="shared" si="18"/>
        <v>0.48777278244664685</v>
      </c>
      <c r="AA14" s="7">
        <f t="shared" si="19"/>
        <v>6.2996052494743663E-3</v>
      </c>
      <c r="AC14" s="30">
        <v>2.2000000000000002</v>
      </c>
      <c r="AD14" s="31">
        <f t="shared" si="0"/>
        <v>0.85410762198583789</v>
      </c>
      <c r="AF14" s="32"/>
    </row>
    <row r="15" spans="2:32" x14ac:dyDescent="0.3">
      <c r="B15" s="6">
        <v>1000</v>
      </c>
      <c r="C15" s="6">
        <v>1E-3</v>
      </c>
      <c r="D15" s="6">
        <v>1</v>
      </c>
      <c r="E15" s="6">
        <f t="shared" si="1"/>
        <v>0.1</v>
      </c>
      <c r="F15" s="6">
        <v>1</v>
      </c>
      <c r="G15" s="13">
        <v>1</v>
      </c>
      <c r="H15" s="6">
        <v>3.0000000000000001E-3</v>
      </c>
      <c r="I15" s="10">
        <v>10</v>
      </c>
      <c r="J15" s="7">
        <f t="shared" si="2"/>
        <v>5.5</v>
      </c>
      <c r="K15" s="7">
        <f t="shared" si="3"/>
        <v>4.5</v>
      </c>
      <c r="L15" s="7">
        <f t="shared" si="4"/>
        <v>8.5000000000000006E-2</v>
      </c>
      <c r="M15" s="7">
        <f t="shared" si="5"/>
        <v>0.997</v>
      </c>
      <c r="N15" s="7">
        <f t="shared" si="6"/>
        <v>1.3444214239671487E-5</v>
      </c>
      <c r="O15" s="7">
        <f t="shared" si="7"/>
        <v>74158.294581324823</v>
      </c>
      <c r="P15" s="11">
        <f t="shared" si="8"/>
        <v>1.0030090270812437</v>
      </c>
      <c r="Q15" s="11">
        <f t="shared" si="9"/>
        <v>1</v>
      </c>
      <c r="R15" s="7">
        <f t="shared" si="10"/>
        <v>0.997</v>
      </c>
      <c r="S15" s="7">
        <f t="shared" si="11"/>
        <v>9.9400900000000013E-4</v>
      </c>
      <c r="T15" s="7">
        <f t="shared" si="12"/>
        <v>1.0030090270812437</v>
      </c>
      <c r="U15" s="19">
        <f t="shared" si="13"/>
        <v>3.0000000000000001E-3</v>
      </c>
      <c r="V15" s="7">
        <f t="shared" si="14"/>
        <v>9.9400900000000013E-4</v>
      </c>
      <c r="W15" s="7">
        <f t="shared" si="15"/>
        <v>9.9700000000000006E-4</v>
      </c>
      <c r="X15" s="7">
        <f t="shared" si="16"/>
        <v>1.5858458438360048</v>
      </c>
      <c r="Y15" s="7">
        <f t="shared" si="17"/>
        <v>14.938015821857212</v>
      </c>
      <c r="Z15" s="7">
        <f t="shared" si="18"/>
        <v>0.39762901130381528</v>
      </c>
      <c r="AA15" s="7">
        <f t="shared" si="19"/>
        <v>4.4814047465571672E-3</v>
      </c>
      <c r="AC15" s="30">
        <v>2.2999999999999998</v>
      </c>
      <c r="AD15" s="31">
        <f t="shared" si="0"/>
        <v>0.84654770400787549</v>
      </c>
      <c r="AF15" s="32"/>
    </row>
    <row r="16" spans="2:32" x14ac:dyDescent="0.3">
      <c r="B16" s="6">
        <v>1000</v>
      </c>
      <c r="C16" s="6">
        <v>1E-3</v>
      </c>
      <c r="D16" s="6">
        <v>1</v>
      </c>
      <c r="E16" s="6">
        <f t="shared" si="1"/>
        <v>0.05</v>
      </c>
      <c r="F16" s="6">
        <v>1</v>
      </c>
      <c r="G16" s="13">
        <v>1</v>
      </c>
      <c r="H16" s="6">
        <v>3.0000000000000001E-3</v>
      </c>
      <c r="I16" s="10">
        <v>20</v>
      </c>
      <c r="J16" s="7">
        <f t="shared" si="2"/>
        <v>6.1999999999999993</v>
      </c>
      <c r="K16" s="7">
        <f t="shared" si="3"/>
        <v>5.1999999999999993</v>
      </c>
      <c r="L16" s="7">
        <f t="shared" si="4"/>
        <v>7.5999999999999998E-2</v>
      </c>
      <c r="M16" s="7">
        <f t="shared" si="5"/>
        <v>0.997</v>
      </c>
      <c r="N16" s="7">
        <f t="shared" si="6"/>
        <v>8.469324259929254E-6</v>
      </c>
      <c r="O16" s="7">
        <f t="shared" si="7"/>
        <v>117718.95483056261</v>
      </c>
      <c r="P16" s="11">
        <f t="shared" si="8"/>
        <v>1.0030090270812437</v>
      </c>
      <c r="Q16" s="11">
        <f t="shared" si="9"/>
        <v>1</v>
      </c>
      <c r="R16" s="7">
        <f t="shared" si="10"/>
        <v>0.997</v>
      </c>
      <c r="S16" s="7">
        <f t="shared" si="11"/>
        <v>9.9400900000000013E-4</v>
      </c>
      <c r="T16" s="7">
        <f t="shared" si="12"/>
        <v>1.0030090270812437</v>
      </c>
      <c r="U16" s="19">
        <f t="shared" si="13"/>
        <v>3.0000000000000001E-3</v>
      </c>
      <c r="V16" s="7">
        <f t="shared" si="14"/>
        <v>9.9400900000000013E-4</v>
      </c>
      <c r="W16" s="7">
        <f t="shared" si="15"/>
        <v>9.9700000000000006E-4</v>
      </c>
      <c r="X16" s="7">
        <f t="shared" si="16"/>
        <v>1.8216585120933035</v>
      </c>
      <c r="Y16" s="7">
        <f t="shared" si="17"/>
        <v>18.82072057762057</v>
      </c>
      <c r="Z16" s="7">
        <f t="shared" si="18"/>
        <v>0.30134643987917165</v>
      </c>
      <c r="AA16" s="7">
        <f t="shared" si="19"/>
        <v>2.8231080866430859E-3</v>
      </c>
      <c r="AC16" s="30">
        <v>2.4</v>
      </c>
      <c r="AD16" s="31">
        <f t="shared" si="0"/>
        <v>0.83937228398318642</v>
      </c>
      <c r="AF16" s="32"/>
    </row>
    <row r="17" spans="2:32" ht="15" thickBot="1" x14ac:dyDescent="0.35">
      <c r="M17"/>
      <c r="P17" s="1"/>
      <c r="V17" s="1"/>
      <c r="W17" s="1"/>
      <c r="AC17" s="30">
        <v>2.5</v>
      </c>
      <c r="AD17" s="31">
        <f t="shared" si="0"/>
        <v>0.83254696327623312</v>
      </c>
      <c r="AF17" s="32"/>
    </row>
    <row r="18" spans="2:32" ht="20.399999999999999" thickBot="1" x14ac:dyDescent="0.35">
      <c r="B18" s="12" t="s">
        <v>12</v>
      </c>
      <c r="C18" s="12" t="s">
        <v>14</v>
      </c>
      <c r="D18" s="12" t="s">
        <v>15</v>
      </c>
      <c r="E18" s="12" t="s">
        <v>22</v>
      </c>
      <c r="F18" s="12" t="s">
        <v>13</v>
      </c>
      <c r="G18" s="12" t="s">
        <v>26</v>
      </c>
      <c r="H18" s="12" t="s">
        <v>10</v>
      </c>
      <c r="I18" s="28" t="s">
        <v>8</v>
      </c>
      <c r="J18" s="12" t="s">
        <v>31</v>
      </c>
      <c r="K18" s="12" t="s">
        <v>32</v>
      </c>
      <c r="L18" s="12" t="s">
        <v>33</v>
      </c>
      <c r="M18" s="12" t="s">
        <v>16</v>
      </c>
      <c r="N18" s="12" t="s">
        <v>23</v>
      </c>
      <c r="O18" s="12" t="s">
        <v>24</v>
      </c>
      <c r="P18" s="22" t="s">
        <v>25</v>
      </c>
      <c r="Q18" s="29" t="s">
        <v>9</v>
      </c>
      <c r="R18" s="12" t="s">
        <v>28</v>
      </c>
      <c r="S18" s="12" t="s">
        <v>21</v>
      </c>
      <c r="T18" s="12" t="s">
        <v>6</v>
      </c>
      <c r="U18" s="12" t="s">
        <v>7</v>
      </c>
      <c r="V18" s="12" t="s">
        <v>20</v>
      </c>
      <c r="W18" s="12" t="s">
        <v>19</v>
      </c>
      <c r="X18" s="12" t="s">
        <v>27</v>
      </c>
      <c r="Y18" s="12" t="s">
        <v>11</v>
      </c>
      <c r="Z18" s="12" t="s">
        <v>29</v>
      </c>
      <c r="AA18" s="12" t="s">
        <v>30</v>
      </c>
      <c r="AC18" s="30">
        <v>2.6</v>
      </c>
      <c r="AD18" s="31">
        <f t="shared" si="0"/>
        <v>0.8260416450421737</v>
      </c>
      <c r="AF18" s="32"/>
    </row>
    <row r="19" spans="2:32" x14ac:dyDescent="0.3">
      <c r="B19" s="7">
        <v>1000</v>
      </c>
      <c r="C19" s="7">
        <v>1E-3</v>
      </c>
      <c r="D19" s="8">
        <v>1</v>
      </c>
      <c r="E19" s="7">
        <f t="shared" ref="E19:E24" si="20">D19/I19</f>
        <v>1</v>
      </c>
      <c r="F19" s="7">
        <v>1</v>
      </c>
      <c r="G19" s="14">
        <v>1</v>
      </c>
      <c r="H19" s="7">
        <v>0.01</v>
      </c>
      <c r="I19" s="9">
        <f>1</f>
        <v>1</v>
      </c>
      <c r="J19" s="7">
        <f t="shared" ref="J19:J24" si="21">G3+1</f>
        <v>2.6</v>
      </c>
      <c r="K19" s="7">
        <f t="shared" ref="K19:K24" si="22">J19-1</f>
        <v>1.6</v>
      </c>
      <c r="L19" s="7">
        <f t="shared" ref="L19:L24" si="23">H3</f>
        <v>0.25</v>
      </c>
      <c r="M19" s="7">
        <f t="shared" ref="M19:M24" si="24">(((Q19-H19)*(D19^G19))/(F19))^(1/G19)</f>
        <v>0.99</v>
      </c>
      <c r="N19" s="7">
        <f t="shared" ref="N19:N24" si="25">(((H19^(((2*G19)+3)/3))*(D19^G19)*(1/F19))/((Q19*I19)^(2*G19/3)))^(1/G19)</f>
        <v>4.6415888336127795E-4</v>
      </c>
      <c r="O19" s="7">
        <f t="shared" ref="O19:O24" si="26">M19/N19</f>
        <v>2132.8903431315648</v>
      </c>
      <c r="P19" s="11">
        <f t="shared" ref="P19:P24" si="27">(F19+(H19*D19/M19))/Q19</f>
        <v>1.0101010101010102</v>
      </c>
      <c r="Q19" s="11">
        <f t="shared" ref="Q19:Q24" si="28">B19*C19*D19</f>
        <v>1</v>
      </c>
      <c r="R19" s="7">
        <f t="shared" ref="R19:R24" si="29">F19*((M19/D19)^(G19))</f>
        <v>0.99</v>
      </c>
      <c r="S19" s="7">
        <f t="shared" ref="S19:S24" si="30">C19*M19*M19</f>
        <v>9.8010000000000002E-4</v>
      </c>
      <c r="T19" s="7">
        <f t="shared" ref="T19:T24" si="31">Q19/R19</f>
        <v>1.0101010101010102</v>
      </c>
      <c r="U19" s="19">
        <f t="shared" ref="U19:U24" si="32">H19/Q19</f>
        <v>0.01</v>
      </c>
      <c r="V19" s="7">
        <f t="shared" ref="V19:V24" si="33">S19/Q19</f>
        <v>9.8010000000000002E-4</v>
      </c>
      <c r="W19" s="7">
        <f t="shared" ref="W19:W24" si="34">S19/R19</f>
        <v>9.8999999999999999E-4</v>
      </c>
      <c r="X19" s="7">
        <f t="shared" ref="X19:X24" si="35">(T19*I19)^((1)/((2*G19)+3))</f>
        <v>1.0020120887099653</v>
      </c>
      <c r="Y19" s="7">
        <f t="shared" ref="Y19:Y24" si="36">((1/U19)*I19)^(1/3)</f>
        <v>4.6415888336127793</v>
      </c>
      <c r="Z19" s="7">
        <f t="shared" ref="Z19:Z24" si="37">((1/T19)*(1/I19))^((2)/((2*G19)+3))</f>
        <v>0.99598793558098164</v>
      </c>
      <c r="AA19" s="7">
        <f t="shared" ref="AA19:AA24" si="38">((U19)*(1/I19))^(2/3)</f>
        <v>4.6415888336127815E-2</v>
      </c>
      <c r="AC19" s="30">
        <v>2.7</v>
      </c>
      <c r="AD19" s="31">
        <f t="shared" si="0"/>
        <v>0.81982985463440383</v>
      </c>
      <c r="AF19" s="32"/>
    </row>
    <row r="20" spans="2:32" x14ac:dyDescent="0.3">
      <c r="B20" s="6">
        <v>1000</v>
      </c>
      <c r="C20" s="6">
        <v>1E-3</v>
      </c>
      <c r="D20" s="6">
        <v>1</v>
      </c>
      <c r="E20" s="6">
        <f t="shared" si="20"/>
        <v>0.55555555555555558</v>
      </c>
      <c r="F20" s="6">
        <v>1</v>
      </c>
      <c r="G20" s="13">
        <v>1</v>
      </c>
      <c r="H20" s="6">
        <v>0.01</v>
      </c>
      <c r="I20" s="10">
        <v>1.8</v>
      </c>
      <c r="J20" s="6">
        <f t="shared" si="21"/>
        <v>2.8</v>
      </c>
      <c r="K20" s="7">
        <f t="shared" si="22"/>
        <v>1.7999999999999998</v>
      </c>
      <c r="L20" s="7">
        <f t="shared" si="23"/>
        <v>0.21</v>
      </c>
      <c r="M20" s="7">
        <f t="shared" si="24"/>
        <v>0.99</v>
      </c>
      <c r="N20" s="7">
        <f t="shared" si="25"/>
        <v>3.1367867629367619E-4</v>
      </c>
      <c r="O20" s="7">
        <f t="shared" si="26"/>
        <v>3156.0959504723546</v>
      </c>
      <c r="P20" s="11">
        <f t="shared" si="27"/>
        <v>1.0101010101010102</v>
      </c>
      <c r="Q20" s="11">
        <f t="shared" si="28"/>
        <v>1</v>
      </c>
      <c r="R20" s="7">
        <f t="shared" si="29"/>
        <v>0.99</v>
      </c>
      <c r="S20" s="7">
        <f t="shared" si="30"/>
        <v>9.8010000000000002E-4</v>
      </c>
      <c r="T20" s="7">
        <f t="shared" si="31"/>
        <v>1.0101010101010102</v>
      </c>
      <c r="U20" s="19">
        <f t="shared" si="32"/>
        <v>0.01</v>
      </c>
      <c r="V20" s="7">
        <f t="shared" si="33"/>
        <v>9.8010000000000002E-4</v>
      </c>
      <c r="W20" s="7">
        <f t="shared" si="34"/>
        <v>9.8999999999999999E-4</v>
      </c>
      <c r="X20" s="7">
        <f t="shared" si="35"/>
        <v>1.1270092020979254</v>
      </c>
      <c r="Y20" s="7">
        <f t="shared" si="36"/>
        <v>5.6462161732861711</v>
      </c>
      <c r="Z20" s="7">
        <f t="shared" si="37"/>
        <v>0.78730874576233367</v>
      </c>
      <c r="AA20" s="7">
        <f t="shared" si="38"/>
        <v>3.1367867629367614E-2</v>
      </c>
      <c r="AC20" s="30">
        <v>2.8</v>
      </c>
      <c r="AD20" s="31">
        <f t="shared" si="0"/>
        <v>0.81388818812829911</v>
      </c>
      <c r="AF20" s="32"/>
    </row>
    <row r="21" spans="2:32" x14ac:dyDescent="0.3">
      <c r="B21" s="6">
        <v>1000</v>
      </c>
      <c r="C21" s="6">
        <v>1E-3</v>
      </c>
      <c r="D21" s="6">
        <v>1</v>
      </c>
      <c r="E21" s="6">
        <f t="shared" si="20"/>
        <v>0.30303030303030304</v>
      </c>
      <c r="F21" s="6">
        <v>1</v>
      </c>
      <c r="G21" s="13">
        <v>1</v>
      </c>
      <c r="H21" s="6">
        <v>0.01</v>
      </c>
      <c r="I21" s="10">
        <v>3.3</v>
      </c>
      <c r="J21" s="6">
        <f t="shared" si="21"/>
        <v>3.1</v>
      </c>
      <c r="K21" s="7">
        <f t="shared" si="22"/>
        <v>2.1</v>
      </c>
      <c r="L21" s="7">
        <f t="shared" si="23"/>
        <v>0.17415700000000001</v>
      </c>
      <c r="M21" s="7">
        <f t="shared" si="24"/>
        <v>0.99</v>
      </c>
      <c r="N21" s="7">
        <f t="shared" si="25"/>
        <v>2.0940676454579352E-4</v>
      </c>
      <c r="O21" s="7">
        <f t="shared" si="26"/>
        <v>4727.6409725699414</v>
      </c>
      <c r="P21" s="11">
        <f t="shared" si="27"/>
        <v>1.0101010101010102</v>
      </c>
      <c r="Q21" s="11">
        <f t="shared" si="28"/>
        <v>1</v>
      </c>
      <c r="R21" s="7">
        <f t="shared" si="29"/>
        <v>0.99</v>
      </c>
      <c r="S21" s="7">
        <f t="shared" si="30"/>
        <v>9.8010000000000002E-4</v>
      </c>
      <c r="T21" s="7">
        <f t="shared" si="31"/>
        <v>1.0101010101010102</v>
      </c>
      <c r="U21" s="19">
        <f t="shared" si="32"/>
        <v>0.01</v>
      </c>
      <c r="V21" s="7">
        <f t="shared" si="33"/>
        <v>9.8010000000000002E-4</v>
      </c>
      <c r="W21" s="7">
        <f t="shared" si="34"/>
        <v>9.8999999999999999E-4</v>
      </c>
      <c r="X21" s="7">
        <f t="shared" si="35"/>
        <v>1.2722596365393921</v>
      </c>
      <c r="Y21" s="7">
        <f t="shared" si="36"/>
        <v>6.9104232300111832</v>
      </c>
      <c r="Z21" s="7">
        <f t="shared" si="37"/>
        <v>0.61780085056741185</v>
      </c>
      <c r="AA21" s="7">
        <f t="shared" si="38"/>
        <v>2.0940676454579352E-2</v>
      </c>
      <c r="AC21" s="30">
        <v>2.9</v>
      </c>
      <c r="AD21" s="31">
        <f t="shared" si="0"/>
        <v>0.80819586116932218</v>
      </c>
      <c r="AF21" s="32"/>
    </row>
    <row r="22" spans="2:32" x14ac:dyDescent="0.3">
      <c r="B22" s="6">
        <v>1000</v>
      </c>
      <c r="C22" s="6">
        <v>1E-3</v>
      </c>
      <c r="D22" s="6">
        <v>1</v>
      </c>
      <c r="E22" s="6">
        <f t="shared" si="20"/>
        <v>0.16666666666666666</v>
      </c>
      <c r="F22" s="6">
        <v>1</v>
      </c>
      <c r="G22" s="13">
        <v>1</v>
      </c>
      <c r="H22" s="6">
        <v>0.01</v>
      </c>
      <c r="I22" s="10">
        <v>6</v>
      </c>
      <c r="J22" s="6">
        <f t="shared" si="21"/>
        <v>3.4</v>
      </c>
      <c r="K22" s="7">
        <f t="shared" si="22"/>
        <v>2.4</v>
      </c>
      <c r="L22" s="7">
        <f t="shared" si="23"/>
        <v>0.13266800000000001</v>
      </c>
      <c r="M22" s="7">
        <f t="shared" si="24"/>
        <v>0.99</v>
      </c>
      <c r="N22" s="7">
        <f t="shared" si="25"/>
        <v>1.405721108836249E-4</v>
      </c>
      <c r="O22" s="7">
        <f t="shared" si="26"/>
        <v>7042.6487428903229</v>
      </c>
      <c r="P22" s="11">
        <f t="shared" si="27"/>
        <v>1.0101010101010102</v>
      </c>
      <c r="Q22" s="11">
        <f t="shared" si="28"/>
        <v>1</v>
      </c>
      <c r="R22" s="7">
        <f t="shared" si="29"/>
        <v>0.99</v>
      </c>
      <c r="S22" s="7">
        <f t="shared" si="30"/>
        <v>9.8010000000000002E-4</v>
      </c>
      <c r="T22" s="7">
        <f t="shared" si="31"/>
        <v>1.0101010101010102</v>
      </c>
      <c r="U22" s="19">
        <f t="shared" si="32"/>
        <v>0.01</v>
      </c>
      <c r="V22" s="7">
        <f t="shared" si="33"/>
        <v>9.8010000000000002E-4</v>
      </c>
      <c r="W22" s="7">
        <f t="shared" si="34"/>
        <v>9.8999999999999999E-4</v>
      </c>
      <c r="X22" s="7">
        <f t="shared" si="35"/>
        <v>1.4338483178376569</v>
      </c>
      <c r="Y22" s="7">
        <f t="shared" si="36"/>
        <v>8.434326653017493</v>
      </c>
      <c r="Z22" s="7">
        <f t="shared" si="37"/>
        <v>0.48640001279113193</v>
      </c>
      <c r="AA22" s="7">
        <f t="shared" si="38"/>
        <v>1.4057211088362487E-2</v>
      </c>
      <c r="AC22" s="30">
        <v>3</v>
      </c>
      <c r="AD22" s="31">
        <f t="shared" si="0"/>
        <v>0.8027343371186858</v>
      </c>
      <c r="AF22" s="32"/>
    </row>
    <row r="23" spans="2:32" x14ac:dyDescent="0.3">
      <c r="B23" s="6">
        <v>1000</v>
      </c>
      <c r="C23" s="6">
        <v>1E-3</v>
      </c>
      <c r="D23" s="6">
        <v>1</v>
      </c>
      <c r="E23" s="6">
        <f t="shared" si="20"/>
        <v>0.1</v>
      </c>
      <c r="F23" s="6">
        <v>1</v>
      </c>
      <c r="G23" s="13">
        <v>1</v>
      </c>
      <c r="H23" s="6">
        <v>0.01</v>
      </c>
      <c r="I23" s="10">
        <v>10</v>
      </c>
      <c r="J23" s="6">
        <f t="shared" si="21"/>
        <v>3.8</v>
      </c>
      <c r="K23" s="7">
        <f t="shared" si="22"/>
        <v>2.8</v>
      </c>
      <c r="L23" s="7">
        <f t="shared" si="23"/>
        <v>0.10656</v>
      </c>
      <c r="M23" s="7">
        <f t="shared" si="24"/>
        <v>0.99</v>
      </c>
      <c r="N23" s="7">
        <f t="shared" si="25"/>
        <v>1E-4</v>
      </c>
      <c r="O23" s="7">
        <f t="shared" si="26"/>
        <v>9900</v>
      </c>
      <c r="P23" s="11">
        <f t="shared" si="27"/>
        <v>1.0101010101010102</v>
      </c>
      <c r="Q23" s="11">
        <f t="shared" si="28"/>
        <v>1</v>
      </c>
      <c r="R23" s="7">
        <f t="shared" si="29"/>
        <v>0.99</v>
      </c>
      <c r="S23" s="7">
        <f t="shared" si="30"/>
        <v>9.8010000000000002E-4</v>
      </c>
      <c r="T23" s="7">
        <f t="shared" si="31"/>
        <v>1.0101010101010102</v>
      </c>
      <c r="U23" s="19">
        <f t="shared" si="32"/>
        <v>0.01</v>
      </c>
      <c r="V23" s="7">
        <f t="shared" si="33"/>
        <v>9.8010000000000002E-4</v>
      </c>
      <c r="W23" s="7">
        <f t="shared" si="34"/>
        <v>9.8999999999999999E-4</v>
      </c>
      <c r="X23" s="7">
        <f t="shared" si="35"/>
        <v>1.5880821381601653</v>
      </c>
      <c r="Y23" s="7">
        <f t="shared" si="36"/>
        <v>9.9999999999999982</v>
      </c>
      <c r="Z23" s="7">
        <f t="shared" si="37"/>
        <v>0.39650993893956349</v>
      </c>
      <c r="AA23" s="7">
        <f t="shared" si="38"/>
        <v>1.0000000000000004E-2</v>
      </c>
      <c r="AC23" s="30">
        <v>3.1</v>
      </c>
      <c r="AD23" s="31">
        <f t="shared" si="0"/>
        <v>0.79748701842052894</v>
      </c>
      <c r="AF23" s="32"/>
    </row>
    <row r="24" spans="2:32" x14ac:dyDescent="0.3">
      <c r="B24" s="6">
        <v>1000</v>
      </c>
      <c r="C24" s="6">
        <v>1E-3</v>
      </c>
      <c r="D24" s="6">
        <v>1</v>
      </c>
      <c r="E24" s="6">
        <f t="shared" si="20"/>
        <v>0.05</v>
      </c>
      <c r="F24" s="6">
        <v>1</v>
      </c>
      <c r="G24" s="13">
        <v>1</v>
      </c>
      <c r="H24" s="6">
        <v>0.01</v>
      </c>
      <c r="I24" s="10">
        <v>20</v>
      </c>
      <c r="J24" s="6">
        <f t="shared" si="21"/>
        <v>4.4000000000000004</v>
      </c>
      <c r="K24" s="7">
        <f t="shared" si="22"/>
        <v>3.4000000000000004</v>
      </c>
      <c r="L24" s="7">
        <f t="shared" si="23"/>
        <v>8.5000000000000006E-2</v>
      </c>
      <c r="M24" s="7">
        <f t="shared" si="24"/>
        <v>0.99</v>
      </c>
      <c r="N24" s="7">
        <f t="shared" si="25"/>
        <v>6.2996052494743678E-5</v>
      </c>
      <c r="O24" s="7">
        <f t="shared" si="26"/>
        <v>15715.27041448517</v>
      </c>
      <c r="P24" s="11">
        <f t="shared" si="27"/>
        <v>1.0101010101010102</v>
      </c>
      <c r="Q24" s="11">
        <f t="shared" si="28"/>
        <v>1</v>
      </c>
      <c r="R24" s="7">
        <f t="shared" si="29"/>
        <v>0.99</v>
      </c>
      <c r="S24" s="7">
        <f t="shared" si="30"/>
        <v>9.8010000000000002E-4</v>
      </c>
      <c r="T24" s="7">
        <f t="shared" si="31"/>
        <v>1.0101010101010102</v>
      </c>
      <c r="U24" s="19">
        <f t="shared" si="32"/>
        <v>0.01</v>
      </c>
      <c r="V24" s="7">
        <f t="shared" si="33"/>
        <v>9.8010000000000002E-4</v>
      </c>
      <c r="W24" s="7">
        <f t="shared" si="34"/>
        <v>9.8999999999999999E-4</v>
      </c>
      <c r="X24" s="7">
        <f t="shared" si="35"/>
        <v>1.8242273397047559</v>
      </c>
      <c r="Y24" s="7">
        <f t="shared" si="36"/>
        <v>12.599210498948731</v>
      </c>
      <c r="Z24" s="7">
        <f t="shared" si="37"/>
        <v>0.30049834161836136</v>
      </c>
      <c r="AA24" s="7">
        <f t="shared" si="38"/>
        <v>6.2996052494743663E-3</v>
      </c>
      <c r="AC24" s="30">
        <v>3.2</v>
      </c>
      <c r="AD24" s="31">
        <f t="shared" si="0"/>
        <v>0.79243898877974872</v>
      </c>
      <c r="AF24" s="32"/>
    </row>
    <row r="25" spans="2:32" ht="15" thickBot="1" x14ac:dyDescent="0.35">
      <c r="M25"/>
      <c r="P25" s="1"/>
      <c r="V25" s="1"/>
      <c r="W25" s="1"/>
      <c r="AC25" s="30">
        <v>3.3</v>
      </c>
      <c r="AD25" s="31">
        <f t="shared" si="0"/>
        <v>0.78757679648226908</v>
      </c>
      <c r="AF25" s="32"/>
    </row>
    <row r="26" spans="2:32" ht="20.399999999999999" thickBot="1" x14ac:dyDescent="0.35">
      <c r="B26" s="12" t="s">
        <v>12</v>
      </c>
      <c r="C26" s="12" t="s">
        <v>14</v>
      </c>
      <c r="D26" s="12" t="s">
        <v>15</v>
      </c>
      <c r="E26" s="12" t="s">
        <v>22</v>
      </c>
      <c r="F26" s="12" t="s">
        <v>13</v>
      </c>
      <c r="G26" s="12" t="s">
        <v>26</v>
      </c>
      <c r="H26" s="12" t="s">
        <v>10</v>
      </c>
      <c r="I26" s="28" t="s">
        <v>8</v>
      </c>
      <c r="J26" s="12" t="s">
        <v>31</v>
      </c>
      <c r="K26" s="12" t="s">
        <v>32</v>
      </c>
      <c r="L26" s="12" t="s">
        <v>33</v>
      </c>
      <c r="M26" s="12" t="s">
        <v>16</v>
      </c>
      <c r="N26" s="12" t="s">
        <v>23</v>
      </c>
      <c r="O26" s="12" t="s">
        <v>24</v>
      </c>
      <c r="P26" s="22" t="s">
        <v>25</v>
      </c>
      <c r="Q26" s="29" t="s">
        <v>9</v>
      </c>
      <c r="R26" s="12" t="s">
        <v>28</v>
      </c>
      <c r="S26" s="12" t="s">
        <v>21</v>
      </c>
      <c r="T26" s="12" t="s">
        <v>6</v>
      </c>
      <c r="U26" s="12" t="s">
        <v>7</v>
      </c>
      <c r="V26" s="12" t="s">
        <v>20</v>
      </c>
      <c r="W26" s="12" t="s">
        <v>19</v>
      </c>
      <c r="X26" s="12" t="s">
        <v>27</v>
      </c>
      <c r="Y26" s="12" t="s">
        <v>11</v>
      </c>
      <c r="Z26" s="12" t="s">
        <v>29</v>
      </c>
      <c r="AA26" s="12" t="s">
        <v>30</v>
      </c>
      <c r="AC26" s="30">
        <v>3.4</v>
      </c>
      <c r="AD26" s="31">
        <f t="shared" si="0"/>
        <v>0.78288827126241234</v>
      </c>
      <c r="AF26" s="32"/>
    </row>
    <row r="27" spans="2:32" x14ac:dyDescent="0.3">
      <c r="B27" s="7">
        <v>1000</v>
      </c>
      <c r="C27" s="7">
        <v>1E-3</v>
      </c>
      <c r="D27" s="8">
        <v>1</v>
      </c>
      <c r="E27" s="7">
        <f t="shared" ref="E27:E32" si="39">D27/I27</f>
        <v>1</v>
      </c>
      <c r="F27" s="7">
        <v>1</v>
      </c>
      <c r="G27" s="14">
        <v>1</v>
      </c>
      <c r="H27" s="7">
        <v>0.03</v>
      </c>
      <c r="I27" s="9">
        <f>1</f>
        <v>1</v>
      </c>
      <c r="J27" s="7">
        <f t="shared" ref="J27:J32" si="40">K3+1</f>
        <v>1.9758800000000001</v>
      </c>
      <c r="K27" s="7">
        <f t="shared" ref="K27:K32" si="41">J27-1</f>
        <v>0.97588000000000008</v>
      </c>
      <c r="L27" s="7">
        <f t="shared" ref="L27:L32" si="42">L3</f>
        <v>0.37</v>
      </c>
      <c r="M27" s="7">
        <f t="shared" ref="M27:M32" si="43">(((Q27-H27)*(D27^G27))/(F27))^(1/G27)</f>
        <v>0.97</v>
      </c>
      <c r="N27" s="7">
        <f t="shared" ref="N27:N32" si="44">(((H27^(((2*G27)+3)/3))*(D27^G27)*(1/F27))/((Q27*I27)^(2*G27/3)))^(1/G27)</f>
        <v>2.8964681538168886E-3</v>
      </c>
      <c r="O27" s="7">
        <f t="shared" ref="O27:O32" si="45">M27/N27</f>
        <v>334.89061453058264</v>
      </c>
      <c r="P27" s="11">
        <f t="shared" ref="P27:P32" si="46">(F27+(H27*D27/M27))/Q27</f>
        <v>1.0309278350515463</v>
      </c>
      <c r="Q27" s="11">
        <f t="shared" ref="Q27:Q32" si="47">B27*C27*D27</f>
        <v>1</v>
      </c>
      <c r="R27" s="7">
        <f t="shared" ref="R27:R32" si="48">F27*((M27/D27)^(G27))</f>
        <v>0.97</v>
      </c>
      <c r="S27" s="7">
        <f t="shared" ref="S27:S32" si="49">C27*M27*M27</f>
        <v>9.4089999999999994E-4</v>
      </c>
      <c r="T27" s="7">
        <f t="shared" ref="T27:T32" si="50">Q27/R27</f>
        <v>1.0309278350515465</v>
      </c>
      <c r="U27" s="19">
        <f t="shared" ref="U27:U32" si="51">H27/Q27</f>
        <v>0.03</v>
      </c>
      <c r="V27" s="7">
        <f t="shared" ref="V27:V32" si="52">S27/Q27</f>
        <v>9.4089999999999994E-4</v>
      </c>
      <c r="W27" s="7">
        <f t="shared" ref="W27:W32" si="53">S27/R27</f>
        <v>9.6999999999999994E-4</v>
      </c>
      <c r="X27" s="7">
        <f t="shared" ref="X27:X32" si="54">(T27*I27)^((1)/((2*G27)+3))</f>
        <v>1.0061104344993872</v>
      </c>
      <c r="Y27" s="7">
        <f t="shared" ref="Y27:Y32" si="55">((1/U27)*I27)^(1/3)</f>
        <v>3.2182979486854326</v>
      </c>
      <c r="Z27" s="7">
        <f t="shared" ref="Z27:Z32" si="56">((1/T27)*(1/I27))^((2)/((2*G27)+3))</f>
        <v>0.98789023755901417</v>
      </c>
      <c r="AA27" s="7">
        <f t="shared" ref="AA27:AA32" si="57">((U27)*(1/I27))^(2/3)</f>
        <v>9.6548938460562964E-2</v>
      </c>
      <c r="AC27" s="30">
        <v>3.5</v>
      </c>
      <c r="AD27" s="31">
        <f t="shared" si="0"/>
        <v>0.77836236870339182</v>
      </c>
      <c r="AF27" s="32"/>
    </row>
    <row r="28" spans="2:32" x14ac:dyDescent="0.3">
      <c r="B28" s="6">
        <v>1000</v>
      </c>
      <c r="C28" s="6">
        <v>1E-3</v>
      </c>
      <c r="D28" s="6">
        <v>1</v>
      </c>
      <c r="E28" s="6">
        <f t="shared" si="39"/>
        <v>0.55555555555555558</v>
      </c>
      <c r="F28" s="6">
        <v>1</v>
      </c>
      <c r="G28" s="13">
        <v>1</v>
      </c>
      <c r="H28" s="6">
        <v>0.03</v>
      </c>
      <c r="I28" s="10">
        <v>1.8</v>
      </c>
      <c r="J28" s="7">
        <f t="shared" si="40"/>
        <v>2.1565319999999999</v>
      </c>
      <c r="K28" s="7">
        <f t="shared" si="41"/>
        <v>1.1565319999999999</v>
      </c>
      <c r="L28" s="7">
        <f t="shared" si="42"/>
        <v>0.33</v>
      </c>
      <c r="M28" s="7">
        <f t="shared" si="43"/>
        <v>0.97</v>
      </c>
      <c r="N28" s="7">
        <f t="shared" si="44"/>
        <v>1.9574338205844313E-3</v>
      </c>
      <c r="O28" s="7">
        <f t="shared" si="45"/>
        <v>495.54676628116448</v>
      </c>
      <c r="P28" s="11">
        <f t="shared" si="46"/>
        <v>1.0309278350515463</v>
      </c>
      <c r="Q28" s="11">
        <f t="shared" si="47"/>
        <v>1</v>
      </c>
      <c r="R28" s="7">
        <f t="shared" si="48"/>
        <v>0.97</v>
      </c>
      <c r="S28" s="7">
        <f t="shared" si="49"/>
        <v>9.4089999999999994E-4</v>
      </c>
      <c r="T28" s="7">
        <f t="shared" si="50"/>
        <v>1.0309278350515465</v>
      </c>
      <c r="U28" s="19">
        <f t="shared" si="51"/>
        <v>0.03</v>
      </c>
      <c r="V28" s="7">
        <f t="shared" si="52"/>
        <v>9.4089999999999994E-4</v>
      </c>
      <c r="W28" s="7">
        <f t="shared" si="53"/>
        <v>9.6999999999999994E-4</v>
      </c>
      <c r="X28" s="7">
        <f t="shared" si="54"/>
        <v>1.13161880059489</v>
      </c>
      <c r="Y28" s="7">
        <f t="shared" si="55"/>
        <v>3.9148676411688634</v>
      </c>
      <c r="Z28" s="7">
        <f t="shared" si="56"/>
        <v>0.78090767578399267</v>
      </c>
      <c r="AA28" s="7">
        <f t="shared" si="57"/>
        <v>6.5247794019481067E-2</v>
      </c>
      <c r="AC28" s="30">
        <v>3.6</v>
      </c>
      <c r="AD28" s="31">
        <f t="shared" si="0"/>
        <v>0.77398903737383384</v>
      </c>
      <c r="AF28" s="32"/>
    </row>
    <row r="29" spans="2:32" x14ac:dyDescent="0.3">
      <c r="B29" s="6">
        <v>1000</v>
      </c>
      <c r="C29" s="6">
        <v>1E-3</v>
      </c>
      <c r="D29" s="6">
        <v>1</v>
      </c>
      <c r="E29" s="6">
        <f t="shared" si="39"/>
        <v>0.30303030303030304</v>
      </c>
      <c r="F29" s="6">
        <v>1</v>
      </c>
      <c r="G29" s="13">
        <v>1</v>
      </c>
      <c r="H29" s="6">
        <v>0.03</v>
      </c>
      <c r="I29" s="10">
        <v>3.3</v>
      </c>
      <c r="J29" s="7">
        <f t="shared" si="40"/>
        <v>2.3721760000000001</v>
      </c>
      <c r="K29" s="7">
        <f t="shared" si="41"/>
        <v>1.3721760000000001</v>
      </c>
      <c r="L29" s="7">
        <f t="shared" si="42"/>
        <v>0.26826100000000003</v>
      </c>
      <c r="M29" s="7">
        <f t="shared" si="43"/>
        <v>0.97</v>
      </c>
      <c r="N29" s="7">
        <f t="shared" si="44"/>
        <v>1.3067508701080318E-3</v>
      </c>
      <c r="O29" s="7">
        <f t="shared" si="45"/>
        <v>742.2991039751962</v>
      </c>
      <c r="P29" s="11">
        <f t="shared" si="46"/>
        <v>1.0309278350515463</v>
      </c>
      <c r="Q29" s="11">
        <f t="shared" si="47"/>
        <v>1</v>
      </c>
      <c r="R29" s="7">
        <f t="shared" si="48"/>
        <v>0.97</v>
      </c>
      <c r="S29" s="7">
        <f t="shared" si="49"/>
        <v>9.4089999999999994E-4</v>
      </c>
      <c r="T29" s="7">
        <f t="shared" si="50"/>
        <v>1.0309278350515465</v>
      </c>
      <c r="U29" s="19">
        <f t="shared" si="51"/>
        <v>0.03</v>
      </c>
      <c r="V29" s="7">
        <f t="shared" si="52"/>
        <v>9.4089999999999994E-4</v>
      </c>
      <c r="W29" s="7">
        <f t="shared" si="53"/>
        <v>9.6999999999999994E-4</v>
      </c>
      <c r="X29" s="7">
        <f t="shared" si="54"/>
        <v>1.2774633261786814</v>
      </c>
      <c r="Y29" s="7">
        <f t="shared" si="55"/>
        <v>4.7914198570627837</v>
      </c>
      <c r="Z29" s="7">
        <f t="shared" si="56"/>
        <v>0.61277793357525845</v>
      </c>
      <c r="AA29" s="7">
        <f t="shared" si="57"/>
        <v>4.35583623369344E-2</v>
      </c>
      <c r="AC29" s="30">
        <v>3.7</v>
      </c>
      <c r="AD29" s="31">
        <f t="shared" si="0"/>
        <v>0.76975910484735377</v>
      </c>
      <c r="AF29" s="32"/>
    </row>
    <row r="30" spans="2:32" x14ac:dyDescent="0.3">
      <c r="B30" s="6">
        <v>1000</v>
      </c>
      <c r="C30" s="6">
        <v>1E-3</v>
      </c>
      <c r="D30" s="6">
        <v>1</v>
      </c>
      <c r="E30" s="6">
        <f t="shared" si="39"/>
        <v>0.16666666666666666</v>
      </c>
      <c r="F30" s="6">
        <v>1</v>
      </c>
      <c r="G30" s="13">
        <v>1</v>
      </c>
      <c r="H30" s="6">
        <v>0.03</v>
      </c>
      <c r="I30" s="10">
        <v>6</v>
      </c>
      <c r="J30" s="7">
        <f t="shared" si="40"/>
        <v>2.5047999999999999</v>
      </c>
      <c r="K30" s="7">
        <f t="shared" si="41"/>
        <v>1.5047999999999999</v>
      </c>
      <c r="L30" s="7">
        <f t="shared" si="42"/>
        <v>0.22</v>
      </c>
      <c r="M30" s="7">
        <f t="shared" si="43"/>
        <v>0.97</v>
      </c>
      <c r="N30" s="7">
        <f t="shared" si="44"/>
        <v>8.772053214638597E-4</v>
      </c>
      <c r="O30" s="7">
        <f t="shared" si="45"/>
        <v>1105.7844455175975</v>
      </c>
      <c r="P30" s="11">
        <f t="shared" si="46"/>
        <v>1.0309278350515463</v>
      </c>
      <c r="Q30" s="11">
        <f t="shared" si="47"/>
        <v>1</v>
      </c>
      <c r="R30" s="7">
        <f t="shared" si="48"/>
        <v>0.97</v>
      </c>
      <c r="S30" s="7">
        <f t="shared" si="49"/>
        <v>9.4089999999999994E-4</v>
      </c>
      <c r="T30" s="7">
        <f t="shared" si="50"/>
        <v>1.0309278350515465</v>
      </c>
      <c r="U30" s="19">
        <f t="shared" si="51"/>
        <v>0.03</v>
      </c>
      <c r="V30" s="7">
        <f t="shared" si="52"/>
        <v>9.4089999999999994E-4</v>
      </c>
      <c r="W30" s="7">
        <f t="shared" si="53"/>
        <v>9.6999999999999994E-4</v>
      </c>
      <c r="X30" s="7">
        <f t="shared" si="54"/>
        <v>1.4397129239459976</v>
      </c>
      <c r="Y30" s="7">
        <f t="shared" si="55"/>
        <v>5.8480354764257312</v>
      </c>
      <c r="Z30" s="7">
        <f t="shared" si="56"/>
        <v>0.48244542631397136</v>
      </c>
      <c r="AA30" s="7">
        <f t="shared" si="57"/>
        <v>2.9240177382128654E-2</v>
      </c>
      <c r="AC30" s="30">
        <v>3.8</v>
      </c>
      <c r="AD30" s="31">
        <f t="shared" si="0"/>
        <v>0.76566417949034671</v>
      </c>
      <c r="AF30" s="32"/>
    </row>
    <row r="31" spans="2:32" x14ac:dyDescent="0.3">
      <c r="B31" s="6">
        <v>1000</v>
      </c>
      <c r="C31" s="6">
        <v>1E-3</v>
      </c>
      <c r="D31" s="6">
        <v>1</v>
      </c>
      <c r="E31" s="6">
        <f t="shared" si="39"/>
        <v>0.1</v>
      </c>
      <c r="F31" s="6">
        <v>1</v>
      </c>
      <c r="G31" s="13">
        <v>1</v>
      </c>
      <c r="H31" s="6">
        <v>0.03</v>
      </c>
      <c r="I31" s="10">
        <v>10</v>
      </c>
      <c r="J31" s="7">
        <f t="shared" si="40"/>
        <v>2.798524</v>
      </c>
      <c r="K31" s="7">
        <f t="shared" si="41"/>
        <v>1.798524</v>
      </c>
      <c r="L31" s="7">
        <f t="shared" si="42"/>
        <v>0.19700000000000001</v>
      </c>
      <c r="M31" s="7">
        <f t="shared" si="43"/>
        <v>0.97</v>
      </c>
      <c r="N31" s="7">
        <f t="shared" si="44"/>
        <v>6.2402514691557102E-4</v>
      </c>
      <c r="O31" s="7">
        <f t="shared" si="45"/>
        <v>1554.424536886874</v>
      </c>
      <c r="P31" s="11">
        <f t="shared" si="46"/>
        <v>1.0309278350515463</v>
      </c>
      <c r="Q31" s="11">
        <f t="shared" si="47"/>
        <v>1</v>
      </c>
      <c r="R31" s="7">
        <f t="shared" si="48"/>
        <v>0.97</v>
      </c>
      <c r="S31" s="7">
        <f t="shared" si="49"/>
        <v>9.4089999999999994E-4</v>
      </c>
      <c r="T31" s="7">
        <f t="shared" si="50"/>
        <v>1.0309278350515465</v>
      </c>
      <c r="U31" s="19">
        <f t="shared" si="51"/>
        <v>0.03</v>
      </c>
      <c r="V31" s="7">
        <f t="shared" si="52"/>
        <v>9.4089999999999994E-4</v>
      </c>
      <c r="W31" s="7">
        <f t="shared" si="53"/>
        <v>9.6999999999999994E-4</v>
      </c>
      <c r="X31" s="7">
        <f t="shared" si="54"/>
        <v>1.5945775785021721</v>
      </c>
      <c r="Y31" s="7">
        <f t="shared" si="55"/>
        <v>6.9336127435063482</v>
      </c>
      <c r="Z31" s="7">
        <f t="shared" si="56"/>
        <v>0.39328618729204134</v>
      </c>
      <c r="AA31" s="7">
        <f t="shared" si="57"/>
        <v>2.0800838230519036E-2</v>
      </c>
      <c r="AC31" s="30">
        <v>3.9</v>
      </c>
      <c r="AD31" s="31">
        <f t="shared" si="0"/>
        <v>0.76169656548437137</v>
      </c>
      <c r="AF31" s="32"/>
    </row>
    <row r="32" spans="2:32" x14ac:dyDescent="0.3">
      <c r="B32" s="6">
        <v>1000</v>
      </c>
      <c r="C32" s="6">
        <v>1E-3</v>
      </c>
      <c r="D32" s="6">
        <v>1</v>
      </c>
      <c r="E32" s="6">
        <f t="shared" si="39"/>
        <v>0.05</v>
      </c>
      <c r="F32" s="6">
        <v>1</v>
      </c>
      <c r="G32" s="13">
        <v>1</v>
      </c>
      <c r="H32" s="6">
        <v>0.03</v>
      </c>
      <c r="I32" s="10">
        <v>20</v>
      </c>
      <c r="J32" s="7">
        <f t="shared" si="40"/>
        <v>3.2399999999999998</v>
      </c>
      <c r="K32" s="7">
        <f t="shared" si="41"/>
        <v>2.2399999999999998</v>
      </c>
      <c r="L32" s="7">
        <f t="shared" si="42"/>
        <v>0.18</v>
      </c>
      <c r="M32" s="7">
        <f t="shared" si="43"/>
        <v>0.97</v>
      </c>
      <c r="N32" s="7">
        <f t="shared" si="44"/>
        <v>3.9311120913133445E-4</v>
      </c>
      <c r="O32" s="7">
        <f t="shared" si="45"/>
        <v>2467.4951450594044</v>
      </c>
      <c r="P32" s="11">
        <f t="shared" si="46"/>
        <v>1.0309278350515463</v>
      </c>
      <c r="Q32" s="11">
        <f t="shared" si="47"/>
        <v>1</v>
      </c>
      <c r="R32" s="7">
        <f t="shared" si="48"/>
        <v>0.97</v>
      </c>
      <c r="S32" s="7">
        <f t="shared" si="49"/>
        <v>9.4089999999999994E-4</v>
      </c>
      <c r="T32" s="7">
        <f t="shared" si="50"/>
        <v>1.0309278350515465</v>
      </c>
      <c r="U32" s="19">
        <f t="shared" si="51"/>
        <v>0.03</v>
      </c>
      <c r="V32" s="7">
        <f t="shared" si="52"/>
        <v>9.4089999999999994E-4</v>
      </c>
      <c r="W32" s="7">
        <f t="shared" si="53"/>
        <v>9.6999999999999994E-4</v>
      </c>
      <c r="X32" s="7">
        <f t="shared" si="54"/>
        <v>1.8316886413406004</v>
      </c>
      <c r="Y32" s="7">
        <f t="shared" si="55"/>
        <v>8.735804647362988</v>
      </c>
      <c r="Z32" s="7">
        <f t="shared" si="56"/>
        <v>0.29805519472912911</v>
      </c>
      <c r="AA32" s="7">
        <f t="shared" si="57"/>
        <v>1.3103706971044488E-2</v>
      </c>
      <c r="AC32" s="30">
        <v>4</v>
      </c>
      <c r="AD32" s="31">
        <f t="shared" si="0"/>
        <v>0.75784918901036558</v>
      </c>
      <c r="AF32" s="32"/>
    </row>
    <row r="33" spans="2:32" ht="15" thickBot="1" x14ac:dyDescent="0.35">
      <c r="M33"/>
      <c r="P33" s="1"/>
      <c r="V33" s="1"/>
      <c r="W33" s="1"/>
      <c r="AC33" s="30">
        <v>4.0999999999999996</v>
      </c>
      <c r="AD33" s="31">
        <f t="shared" si="0"/>
        <v>0.75411553388963271</v>
      </c>
      <c r="AF33" s="32"/>
    </row>
    <row r="34" spans="2:32" ht="20.399999999999999" thickBot="1" x14ac:dyDescent="0.35">
      <c r="B34" s="12" t="s">
        <v>12</v>
      </c>
      <c r="C34" s="12" t="s">
        <v>14</v>
      </c>
      <c r="D34" s="12" t="s">
        <v>15</v>
      </c>
      <c r="E34" s="12" t="s">
        <v>22</v>
      </c>
      <c r="F34" s="12" t="s">
        <v>13</v>
      </c>
      <c r="G34" s="12" t="s">
        <v>26</v>
      </c>
      <c r="H34" s="12" t="s">
        <v>10</v>
      </c>
      <c r="I34" s="28" t="s">
        <v>8</v>
      </c>
      <c r="J34" s="12" t="s">
        <v>31</v>
      </c>
      <c r="K34" s="12" t="s">
        <v>32</v>
      </c>
      <c r="L34" s="12" t="s">
        <v>33</v>
      </c>
      <c r="M34" s="12" t="s">
        <v>16</v>
      </c>
      <c r="N34" s="12" t="s">
        <v>23</v>
      </c>
      <c r="O34" s="12" t="s">
        <v>24</v>
      </c>
      <c r="P34" s="22" t="s">
        <v>25</v>
      </c>
      <c r="Q34" s="29" t="s">
        <v>9</v>
      </c>
      <c r="R34" s="12" t="s">
        <v>28</v>
      </c>
      <c r="S34" s="12" t="s">
        <v>21</v>
      </c>
      <c r="T34" s="12" t="s">
        <v>6</v>
      </c>
      <c r="U34" s="12" t="s">
        <v>7</v>
      </c>
      <c r="V34" s="12" t="s">
        <v>20</v>
      </c>
      <c r="W34" s="12" t="s">
        <v>19</v>
      </c>
      <c r="X34" s="12" t="s">
        <v>27</v>
      </c>
      <c r="Y34" s="12" t="s">
        <v>11</v>
      </c>
      <c r="Z34" s="12" t="s">
        <v>29</v>
      </c>
      <c r="AA34" s="12" t="s">
        <v>30</v>
      </c>
      <c r="AC34" s="30">
        <v>4.2</v>
      </c>
      <c r="AD34" s="31">
        <f t="shared" si="0"/>
        <v>0.7504895852717558</v>
      </c>
      <c r="AF34" s="32"/>
    </row>
    <row r="35" spans="2:32" x14ac:dyDescent="0.3">
      <c r="B35" s="7">
        <v>1000</v>
      </c>
      <c r="C35" s="7">
        <v>1E-3</v>
      </c>
      <c r="D35" s="8">
        <v>1</v>
      </c>
      <c r="E35" s="7">
        <f t="shared" ref="E35:E40" si="58">D35/I35</f>
        <v>1</v>
      </c>
      <c r="F35" s="7">
        <v>1</v>
      </c>
      <c r="G35" s="14">
        <v>1</v>
      </c>
      <c r="H35" s="7">
        <v>0.1</v>
      </c>
      <c r="I35" s="9">
        <f>1</f>
        <v>1</v>
      </c>
      <c r="J35" s="7">
        <f t="shared" ref="J35:J40" si="59">O3+1</f>
        <v>1.5453220000000001</v>
      </c>
      <c r="K35" s="7">
        <f t="shared" ref="K35:K40" si="60">J35-1</f>
        <v>0.54532200000000008</v>
      </c>
      <c r="L35" s="7">
        <f t="shared" ref="L35:L40" si="61">P3</f>
        <v>0.6</v>
      </c>
      <c r="M35" s="7">
        <f t="shared" ref="M35:M40" si="62">(((Q35-H35)*(D35^G35))/(F35))^(1/G35)</f>
        <v>0.9</v>
      </c>
      <c r="N35" s="7">
        <f t="shared" ref="N35:N40" si="63">(((H35^(((2*G35)+3)/3))*(D35^G35)*(1/F35))/((Q35*I35)^(2*G35/3)))^(1/G35)</f>
        <v>2.1544346900318839E-2</v>
      </c>
      <c r="O35" s="7">
        <f t="shared" ref="O35:O40" si="64">M35/N35</f>
        <v>41.774299502515007</v>
      </c>
      <c r="P35" s="11">
        <f t="shared" ref="P35:P40" si="65">(F35+(H35*D35/M35))/Q35</f>
        <v>1.1111111111111112</v>
      </c>
      <c r="Q35" s="11">
        <f t="shared" ref="Q35:Q40" si="66">B35*C35*D35</f>
        <v>1</v>
      </c>
      <c r="R35" s="7">
        <f t="shared" ref="R35:R40" si="67">F35*((M35/D35)^(G35))</f>
        <v>0.9</v>
      </c>
      <c r="S35" s="7">
        <f t="shared" ref="S35:S40" si="68">C35*M35*M35</f>
        <v>8.1000000000000006E-4</v>
      </c>
      <c r="T35" s="7">
        <f t="shared" ref="T35:T40" si="69">Q35/R35</f>
        <v>1.1111111111111112</v>
      </c>
      <c r="U35" s="19">
        <f t="shared" ref="U35:U40" si="70">H35/Q35</f>
        <v>0.1</v>
      </c>
      <c r="V35" s="7">
        <f t="shared" ref="V35:V40" si="71">S35/Q35</f>
        <v>8.1000000000000006E-4</v>
      </c>
      <c r="W35" s="7">
        <f t="shared" ref="W35:W40" si="72">S35/R35</f>
        <v>9.0000000000000008E-4</v>
      </c>
      <c r="X35" s="7">
        <f t="shared" ref="X35:X40" si="73">(T35*I35)^((1)/((2*G35)+3))</f>
        <v>1.0212956876001351</v>
      </c>
      <c r="Y35" s="7">
        <f t="shared" ref="Y35:Y40" si="74">((1/U35)*I35)^(1/3)</f>
        <v>2.1544346900318838</v>
      </c>
      <c r="Z35" s="7">
        <f t="shared" ref="Z35:Z40" si="75">((1/T35)*(1/I35))^((2)/((2*G35)+3))</f>
        <v>0.95873151551418268</v>
      </c>
      <c r="AA35" s="7">
        <f t="shared" ref="AA35:AA40" si="76">((U35)*(1/I35))^(2/3)</f>
        <v>0.21544346900318845</v>
      </c>
      <c r="AC35" s="30">
        <v>4.3</v>
      </c>
      <c r="AD35" s="31">
        <f t="shared" si="0"/>
        <v>0.74696578019795645</v>
      </c>
      <c r="AF35" s="32"/>
    </row>
    <row r="36" spans="2:32" x14ac:dyDescent="0.3">
      <c r="B36" s="6">
        <v>1000</v>
      </c>
      <c r="C36" s="6">
        <v>1E-3</v>
      </c>
      <c r="D36" s="6">
        <v>1</v>
      </c>
      <c r="E36" s="6">
        <f t="shared" si="58"/>
        <v>0.55555555555555558</v>
      </c>
      <c r="F36" s="6">
        <v>1</v>
      </c>
      <c r="G36" s="13">
        <v>1</v>
      </c>
      <c r="H36" s="6">
        <v>0.1</v>
      </c>
      <c r="I36" s="10">
        <v>1.8</v>
      </c>
      <c r="J36" s="7">
        <f t="shared" si="59"/>
        <v>1.6011570000000002</v>
      </c>
      <c r="K36" s="7">
        <f t="shared" si="60"/>
        <v>0.60115700000000016</v>
      </c>
      <c r="L36" s="7">
        <f t="shared" si="61"/>
        <v>0.47673300000000002</v>
      </c>
      <c r="M36" s="7">
        <f t="shared" si="62"/>
        <v>0.9</v>
      </c>
      <c r="N36" s="7">
        <f t="shared" si="63"/>
        <v>1.4559674412271649E-2</v>
      </c>
      <c r="O36" s="7">
        <f t="shared" si="64"/>
        <v>61.814569097879918</v>
      </c>
      <c r="P36" s="11">
        <f t="shared" si="65"/>
        <v>1.1111111111111112</v>
      </c>
      <c r="Q36" s="11">
        <f t="shared" si="66"/>
        <v>1</v>
      </c>
      <c r="R36" s="7">
        <f t="shared" si="67"/>
        <v>0.9</v>
      </c>
      <c r="S36" s="7">
        <f t="shared" si="68"/>
        <v>8.1000000000000006E-4</v>
      </c>
      <c r="T36" s="7">
        <f t="shared" si="69"/>
        <v>1.1111111111111112</v>
      </c>
      <c r="U36" s="19">
        <f t="shared" si="70"/>
        <v>0.1</v>
      </c>
      <c r="V36" s="7">
        <f t="shared" si="71"/>
        <v>8.1000000000000006E-4</v>
      </c>
      <c r="W36" s="7">
        <f t="shared" si="72"/>
        <v>9.0000000000000008E-4</v>
      </c>
      <c r="X36" s="7">
        <f t="shared" si="73"/>
        <v>1.1486983549970351</v>
      </c>
      <c r="Y36" s="7">
        <f t="shared" si="74"/>
        <v>2.6207413942088964</v>
      </c>
      <c r="Z36" s="7">
        <f t="shared" si="75"/>
        <v>0.75785828325519911</v>
      </c>
      <c r="AA36" s="7">
        <f t="shared" si="76"/>
        <v>0.1455967441227165</v>
      </c>
      <c r="AC36" s="30">
        <v>4.4000000000000004</v>
      </c>
      <c r="AD36" s="31">
        <f t="shared" si="0"/>
        <v>0.74353896406192699</v>
      </c>
      <c r="AF36" s="32"/>
    </row>
    <row r="37" spans="2:32" x14ac:dyDescent="0.3">
      <c r="B37" s="6">
        <v>1000</v>
      </c>
      <c r="C37" s="6">
        <v>1E-3</v>
      </c>
      <c r="D37" s="6">
        <v>1</v>
      </c>
      <c r="E37" s="6">
        <f t="shared" si="58"/>
        <v>0.30303030303030304</v>
      </c>
      <c r="F37" s="6">
        <v>1</v>
      </c>
      <c r="G37" s="13">
        <v>1</v>
      </c>
      <c r="H37" s="6">
        <v>0.1</v>
      </c>
      <c r="I37" s="10">
        <v>3.3</v>
      </c>
      <c r="J37" s="7">
        <f t="shared" si="59"/>
        <v>1.743913</v>
      </c>
      <c r="K37" s="7">
        <f t="shared" si="60"/>
        <v>0.74391300000000005</v>
      </c>
      <c r="L37" s="7">
        <f t="shared" si="61"/>
        <v>0.42</v>
      </c>
      <c r="M37" s="7">
        <f t="shared" si="62"/>
        <v>0.9</v>
      </c>
      <c r="N37" s="7">
        <f t="shared" si="63"/>
        <v>9.7198009999873557E-3</v>
      </c>
      <c r="O37" s="7">
        <f t="shared" si="64"/>
        <v>92.594488302915963</v>
      </c>
      <c r="P37" s="11">
        <f t="shared" si="65"/>
        <v>1.1111111111111112</v>
      </c>
      <c r="Q37" s="11">
        <f t="shared" si="66"/>
        <v>1</v>
      </c>
      <c r="R37" s="7">
        <f t="shared" si="67"/>
        <v>0.9</v>
      </c>
      <c r="S37" s="7">
        <f t="shared" si="68"/>
        <v>8.1000000000000006E-4</v>
      </c>
      <c r="T37" s="7">
        <f t="shared" si="69"/>
        <v>1.1111111111111112</v>
      </c>
      <c r="U37" s="19">
        <f t="shared" si="70"/>
        <v>0.1</v>
      </c>
      <c r="V37" s="7">
        <f t="shared" si="71"/>
        <v>8.1000000000000006E-4</v>
      </c>
      <c r="W37" s="7">
        <f t="shared" si="72"/>
        <v>9.0000000000000008E-4</v>
      </c>
      <c r="X37" s="7">
        <f t="shared" si="73"/>
        <v>1.2967441161096582</v>
      </c>
      <c r="Y37" s="7">
        <f t="shared" si="74"/>
        <v>3.2075343299958265</v>
      </c>
      <c r="Z37" s="7">
        <f t="shared" si="75"/>
        <v>0.59469108469164478</v>
      </c>
      <c r="AA37" s="7">
        <f t="shared" si="76"/>
        <v>9.7198009999873533E-2</v>
      </c>
      <c r="AC37" s="30">
        <v>4.5</v>
      </c>
      <c r="AD37" s="31">
        <f t="shared" si="0"/>
        <v>0.7402043521481011</v>
      </c>
      <c r="AF37" s="32"/>
    </row>
    <row r="38" spans="2:32" x14ac:dyDescent="0.3">
      <c r="B38" s="6">
        <v>1000</v>
      </c>
      <c r="C38" s="6">
        <v>1E-3</v>
      </c>
      <c r="D38" s="6">
        <v>1</v>
      </c>
      <c r="E38" s="6">
        <f t="shared" si="58"/>
        <v>0.16666666666666666</v>
      </c>
      <c r="F38" s="6">
        <v>1</v>
      </c>
      <c r="G38" s="13">
        <v>1</v>
      </c>
      <c r="H38" s="6">
        <v>0.1</v>
      </c>
      <c r="I38" s="10">
        <v>6</v>
      </c>
      <c r="J38" s="7">
        <f t="shared" si="59"/>
        <v>1.8794490000000001</v>
      </c>
      <c r="K38" s="7">
        <f t="shared" si="60"/>
        <v>0.87944900000000015</v>
      </c>
      <c r="L38" s="7">
        <f t="shared" si="61"/>
        <v>0.37</v>
      </c>
      <c r="M38" s="7">
        <f t="shared" si="62"/>
        <v>0.9</v>
      </c>
      <c r="N38" s="7">
        <f t="shared" si="63"/>
        <v>6.5247794019481073E-3</v>
      </c>
      <c r="O38" s="7">
        <f t="shared" si="64"/>
        <v>137.93569783083953</v>
      </c>
      <c r="P38" s="11">
        <f t="shared" si="65"/>
        <v>1.1111111111111112</v>
      </c>
      <c r="Q38" s="11">
        <f t="shared" si="66"/>
        <v>1</v>
      </c>
      <c r="R38" s="7">
        <f t="shared" si="67"/>
        <v>0.9</v>
      </c>
      <c r="S38" s="7">
        <f t="shared" si="68"/>
        <v>8.1000000000000006E-4</v>
      </c>
      <c r="T38" s="7">
        <f t="shared" si="69"/>
        <v>1.1111111111111112</v>
      </c>
      <c r="U38" s="19">
        <f t="shared" si="70"/>
        <v>0.1</v>
      </c>
      <c r="V38" s="7">
        <f t="shared" si="71"/>
        <v>8.1000000000000006E-4</v>
      </c>
      <c r="W38" s="7">
        <f t="shared" si="72"/>
        <v>9.0000000000000008E-4</v>
      </c>
      <c r="X38" s="7">
        <f t="shared" si="73"/>
        <v>1.4614425516219254</v>
      </c>
      <c r="Y38" s="7">
        <f t="shared" si="74"/>
        <v>3.9148676411688634</v>
      </c>
      <c r="Z38" s="7">
        <f t="shared" si="75"/>
        <v>0.46820549200462047</v>
      </c>
      <c r="AA38" s="7">
        <f t="shared" si="76"/>
        <v>6.5247794019481067E-2</v>
      </c>
      <c r="AC38" s="30">
        <v>4.5999999999999996</v>
      </c>
      <c r="AD38" s="31">
        <f t="shared" si="0"/>
        <v>0.73695749555683387</v>
      </c>
      <c r="AF38" s="32"/>
    </row>
    <row r="39" spans="2:32" x14ac:dyDescent="0.3">
      <c r="B39" s="6">
        <v>1000</v>
      </c>
      <c r="C39" s="6">
        <v>1E-3</v>
      </c>
      <c r="D39" s="6">
        <v>1</v>
      </c>
      <c r="E39" s="6">
        <f t="shared" si="58"/>
        <v>0.1</v>
      </c>
      <c r="F39" s="6">
        <v>1</v>
      </c>
      <c r="G39" s="13">
        <v>1</v>
      </c>
      <c r="H39" s="6">
        <v>0.1</v>
      </c>
      <c r="I39" s="10">
        <v>10</v>
      </c>
      <c r="J39" s="7">
        <f t="shared" si="59"/>
        <v>1.9921440000000001</v>
      </c>
      <c r="K39" s="7">
        <f t="shared" si="60"/>
        <v>0.99214400000000014</v>
      </c>
      <c r="L39" s="7">
        <f t="shared" si="61"/>
        <v>0.34</v>
      </c>
      <c r="M39" s="7">
        <f t="shared" si="62"/>
        <v>0.9</v>
      </c>
      <c r="N39" s="7">
        <f t="shared" si="63"/>
        <v>4.6415888336127789E-3</v>
      </c>
      <c r="O39" s="7">
        <f t="shared" si="64"/>
        <v>193.89912210286954</v>
      </c>
      <c r="P39" s="11">
        <f t="shared" si="65"/>
        <v>1.1111111111111112</v>
      </c>
      <c r="Q39" s="11">
        <f t="shared" si="66"/>
        <v>1</v>
      </c>
      <c r="R39" s="7">
        <f t="shared" si="67"/>
        <v>0.9</v>
      </c>
      <c r="S39" s="7">
        <f t="shared" si="68"/>
        <v>8.1000000000000006E-4</v>
      </c>
      <c r="T39" s="7">
        <f t="shared" si="69"/>
        <v>1.1111111111111112</v>
      </c>
      <c r="U39" s="19">
        <f t="shared" si="70"/>
        <v>0.1</v>
      </c>
      <c r="V39" s="7">
        <f t="shared" si="71"/>
        <v>8.1000000000000006E-4</v>
      </c>
      <c r="W39" s="7">
        <f t="shared" si="72"/>
        <v>9.0000000000000008E-4</v>
      </c>
      <c r="X39" s="7">
        <f t="shared" si="73"/>
        <v>1.6186445827673461</v>
      </c>
      <c r="Y39" s="7">
        <f t="shared" si="74"/>
        <v>4.6415888336127793</v>
      </c>
      <c r="Z39" s="7">
        <f t="shared" si="75"/>
        <v>0.38167789096181753</v>
      </c>
      <c r="AA39" s="7">
        <f t="shared" si="76"/>
        <v>4.6415888336127815E-2</v>
      </c>
      <c r="AC39" s="30">
        <v>4.7</v>
      </c>
      <c r="AD39" s="31">
        <f t="shared" si="0"/>
        <v>0.73379425093268824</v>
      </c>
      <c r="AF39" s="32"/>
    </row>
    <row r="40" spans="2:32" x14ac:dyDescent="0.3">
      <c r="B40" s="6">
        <v>1000</v>
      </c>
      <c r="C40" s="6">
        <v>1E-3</v>
      </c>
      <c r="D40" s="6">
        <v>1</v>
      </c>
      <c r="E40" s="6">
        <f t="shared" si="58"/>
        <v>0.05</v>
      </c>
      <c r="F40" s="6">
        <v>1</v>
      </c>
      <c r="G40" s="13">
        <v>1</v>
      </c>
      <c r="H40" s="6">
        <v>0.1</v>
      </c>
      <c r="I40" s="10">
        <v>20</v>
      </c>
      <c r="J40" s="7">
        <f t="shared" si="59"/>
        <v>2.2000000000000002</v>
      </c>
      <c r="K40" s="7">
        <f t="shared" si="60"/>
        <v>1.2000000000000002</v>
      </c>
      <c r="L40" s="7">
        <f t="shared" si="61"/>
        <v>0.3</v>
      </c>
      <c r="M40" s="7">
        <f t="shared" si="62"/>
        <v>0.9</v>
      </c>
      <c r="N40" s="7">
        <f t="shared" si="63"/>
        <v>2.9240177382128668E-3</v>
      </c>
      <c r="O40" s="7">
        <f t="shared" si="64"/>
        <v>307.79567040180541</v>
      </c>
      <c r="P40" s="11">
        <f t="shared" si="65"/>
        <v>1.1111111111111112</v>
      </c>
      <c r="Q40" s="11">
        <f t="shared" si="66"/>
        <v>1</v>
      </c>
      <c r="R40" s="7">
        <f t="shared" si="67"/>
        <v>0.9</v>
      </c>
      <c r="S40" s="7">
        <f t="shared" si="68"/>
        <v>8.1000000000000006E-4</v>
      </c>
      <c r="T40" s="7">
        <f t="shared" si="69"/>
        <v>1.1111111111111112</v>
      </c>
      <c r="U40" s="19">
        <f t="shared" si="70"/>
        <v>0.1</v>
      </c>
      <c r="V40" s="7">
        <f t="shared" si="71"/>
        <v>8.1000000000000006E-4</v>
      </c>
      <c r="W40" s="7">
        <f t="shared" si="72"/>
        <v>9.0000000000000008E-4</v>
      </c>
      <c r="X40" s="7">
        <f t="shared" si="73"/>
        <v>1.8593343695497127</v>
      </c>
      <c r="Y40" s="7">
        <f t="shared" si="74"/>
        <v>5.8480354764257312</v>
      </c>
      <c r="Z40" s="7">
        <f t="shared" si="75"/>
        <v>0.28925775120078817</v>
      </c>
      <c r="AA40" s="7">
        <f t="shared" si="76"/>
        <v>2.9240177382128668E-2</v>
      </c>
      <c r="AC40" s="30">
        <v>4.7999999999999901</v>
      </c>
      <c r="AD40" s="31">
        <f t="shared" si="0"/>
        <v>0.73071075350035208</v>
      </c>
      <c r="AF40" s="32"/>
    </row>
    <row r="41" spans="2:32" ht="15" thickBot="1" x14ac:dyDescent="0.35">
      <c r="M41"/>
      <c r="P41" s="1"/>
      <c r="V41" s="1"/>
      <c r="W41" s="1"/>
      <c r="AC41" s="30">
        <v>4.8999999999999897</v>
      </c>
      <c r="AD41" s="31">
        <f t="shared" si="0"/>
        <v>0.72770339298613662</v>
      </c>
      <c r="AF41" s="32"/>
    </row>
    <row r="42" spans="2:32" ht="20.399999999999999" thickBot="1" x14ac:dyDescent="0.35">
      <c r="B42" s="12" t="s">
        <v>12</v>
      </c>
      <c r="C42" s="12" t="s">
        <v>14</v>
      </c>
      <c r="D42" s="12" t="s">
        <v>15</v>
      </c>
      <c r="E42" s="12" t="s">
        <v>22</v>
      </c>
      <c r="F42" s="12" t="s">
        <v>13</v>
      </c>
      <c r="G42" s="12" t="s">
        <v>26</v>
      </c>
      <c r="H42" s="12" t="s">
        <v>10</v>
      </c>
      <c r="I42" s="28" t="s">
        <v>8</v>
      </c>
      <c r="J42" s="12" t="s">
        <v>31</v>
      </c>
      <c r="K42" s="12" t="s">
        <v>32</v>
      </c>
      <c r="L42" s="12" t="s">
        <v>33</v>
      </c>
      <c r="M42" s="12" t="s">
        <v>16</v>
      </c>
      <c r="N42" s="12" t="s">
        <v>23</v>
      </c>
      <c r="O42" s="12" t="s">
        <v>24</v>
      </c>
      <c r="P42" s="22" t="s">
        <v>25</v>
      </c>
      <c r="Q42" s="29" t="s">
        <v>9</v>
      </c>
      <c r="R42" s="12" t="s">
        <v>28</v>
      </c>
      <c r="S42" s="12" t="s">
        <v>21</v>
      </c>
      <c r="T42" s="12" t="s">
        <v>6</v>
      </c>
      <c r="U42" s="12" t="s">
        <v>7</v>
      </c>
      <c r="V42" s="12" t="s">
        <v>20</v>
      </c>
      <c r="W42" s="12" t="s">
        <v>19</v>
      </c>
      <c r="X42" s="12" t="s">
        <v>27</v>
      </c>
      <c r="Y42" s="12" t="s">
        <v>11</v>
      </c>
      <c r="Z42" s="12" t="s">
        <v>29</v>
      </c>
      <c r="AA42" s="12" t="s">
        <v>30</v>
      </c>
      <c r="AC42" s="30">
        <v>5</v>
      </c>
      <c r="AD42" s="31">
        <f t="shared" si="0"/>
        <v>0.72476879206427769</v>
      </c>
      <c r="AF42" s="32"/>
    </row>
    <row r="43" spans="2:32" x14ac:dyDescent="0.3">
      <c r="B43" s="7">
        <v>1000</v>
      </c>
      <c r="C43" s="7">
        <v>1E-3</v>
      </c>
      <c r="D43" s="8">
        <v>1</v>
      </c>
      <c r="E43" s="7">
        <f t="shared" ref="E43:E48" si="77">D43/I43</f>
        <v>1</v>
      </c>
      <c r="F43" s="7">
        <v>1</v>
      </c>
      <c r="G43" s="14">
        <v>1</v>
      </c>
      <c r="H43" s="7">
        <v>0.3</v>
      </c>
      <c r="I43" s="9">
        <f>1</f>
        <v>1</v>
      </c>
      <c r="J43" s="7">
        <f t="shared" ref="J43:J48" si="78">S3+1</f>
        <v>1.19</v>
      </c>
      <c r="K43" s="7">
        <f t="shared" ref="K43:K48" si="79">J43-1</f>
        <v>0.18999999999999995</v>
      </c>
      <c r="L43" s="7">
        <f t="shared" ref="L43:L48" si="80">T3</f>
        <v>0.8</v>
      </c>
      <c r="M43" s="7">
        <f t="shared" ref="M43:M48" si="81">(((Q43-H43)*(D43^G43))/(F43))^(1/G43)</f>
        <v>0.7</v>
      </c>
      <c r="N43" s="7">
        <f t="shared" ref="N43:N48" si="82">(((H43^(((2*G43)+3)/3))*(D43^G43)*(1/F43))/((Q43*I43)^(2*G43/3)))^(1/G43)</f>
        <v>0.1344421423967149</v>
      </c>
      <c r="O43" s="7">
        <f t="shared" ref="O43:O48" si="83">M43/N43</f>
        <v>5.2067007228613198</v>
      </c>
      <c r="P43" s="11">
        <f t="shared" ref="P43:P48" si="84">(F43+(H43*D43/M43))/Q43</f>
        <v>1.4285714285714286</v>
      </c>
      <c r="Q43" s="11">
        <f t="shared" ref="Q43:Q48" si="85">B43*C43*D43</f>
        <v>1</v>
      </c>
      <c r="R43" s="7">
        <f t="shared" ref="R43:R48" si="86">F43*((M43/D43)^(G43))</f>
        <v>0.7</v>
      </c>
      <c r="S43" s="7">
        <f t="shared" ref="S43:S48" si="87">C43*M43*M43</f>
        <v>4.8999999999999998E-4</v>
      </c>
      <c r="T43" s="7">
        <f t="shared" ref="T43:T48" si="88">Q43/R43</f>
        <v>1.4285714285714286</v>
      </c>
      <c r="U43" s="19">
        <f t="shared" ref="U43:U48" si="89">H43/Q43</f>
        <v>0.3</v>
      </c>
      <c r="V43" s="7">
        <f t="shared" ref="V43:V48" si="90">S43/Q43</f>
        <v>4.8999999999999998E-4</v>
      </c>
      <c r="W43" s="7">
        <f t="shared" ref="W43:W48" si="91">S43/R43</f>
        <v>6.9999999999999999E-4</v>
      </c>
      <c r="X43" s="7">
        <f t="shared" ref="X43:X48" si="92">(T43*I43)^((1)/((2*G43)+3))</f>
        <v>1.0739409237857793</v>
      </c>
      <c r="Y43" s="7">
        <f t="shared" ref="Y43:Y48" si="93">((1/U43)*I43)^(1/3)</f>
        <v>1.4938015821857216</v>
      </c>
      <c r="Z43" s="7">
        <f t="shared" ref="Z43:Z48" si="94">((1/T43)*(1/I43))^((2)/((2*G43)+3))</f>
        <v>0.86704016438112341</v>
      </c>
      <c r="AA43" s="7">
        <f t="shared" ref="AA43:AA48" si="95">((U43)*(1/I43))^(2/3)</f>
        <v>0.44814047465571644</v>
      </c>
      <c r="AC43" s="30">
        <v>5.0999999999999899</v>
      </c>
      <c r="AD43" s="31">
        <f t="shared" si="0"/>
        <v>0.72190378701862168</v>
      </c>
      <c r="AF43" s="32"/>
    </row>
    <row r="44" spans="2:32" x14ac:dyDescent="0.3">
      <c r="B44" s="6">
        <v>1000</v>
      </c>
      <c r="C44" s="6">
        <v>1E-3</v>
      </c>
      <c r="D44" s="6">
        <v>1</v>
      </c>
      <c r="E44" s="6">
        <f t="shared" si="77"/>
        <v>0.55555555555555558</v>
      </c>
      <c r="F44" s="6">
        <v>1</v>
      </c>
      <c r="G44" s="13">
        <v>1</v>
      </c>
      <c r="H44" s="6">
        <v>0.3</v>
      </c>
      <c r="I44" s="10">
        <v>1.8</v>
      </c>
      <c r="J44" s="7">
        <f t="shared" si="78"/>
        <v>1.224</v>
      </c>
      <c r="K44" s="7">
        <f t="shared" si="79"/>
        <v>0.22399999999999998</v>
      </c>
      <c r="L44" s="7">
        <f t="shared" si="80"/>
        <v>0.75</v>
      </c>
      <c r="M44" s="7">
        <f t="shared" si="81"/>
        <v>0.7</v>
      </c>
      <c r="N44" s="7">
        <f t="shared" si="82"/>
        <v>9.0856029641606953E-2</v>
      </c>
      <c r="O44" s="7">
        <f t="shared" si="83"/>
        <v>7.7044969140874642</v>
      </c>
      <c r="P44" s="11">
        <f t="shared" si="84"/>
        <v>1.4285714285714286</v>
      </c>
      <c r="Q44" s="11">
        <f t="shared" si="85"/>
        <v>1</v>
      </c>
      <c r="R44" s="7">
        <f t="shared" si="86"/>
        <v>0.7</v>
      </c>
      <c r="S44" s="7">
        <f t="shared" si="87"/>
        <v>4.8999999999999998E-4</v>
      </c>
      <c r="T44" s="7">
        <f t="shared" si="88"/>
        <v>1.4285714285714286</v>
      </c>
      <c r="U44" s="19">
        <f t="shared" si="89"/>
        <v>0.3</v>
      </c>
      <c r="V44" s="7">
        <f t="shared" si="90"/>
        <v>4.8999999999999998E-4</v>
      </c>
      <c r="W44" s="7">
        <f t="shared" si="91"/>
        <v>6.9999999999999999E-4</v>
      </c>
      <c r="X44" s="7">
        <f t="shared" si="92"/>
        <v>1.207910879772286</v>
      </c>
      <c r="Y44" s="7">
        <f t="shared" si="93"/>
        <v>1.8171205928321397</v>
      </c>
      <c r="Z44" s="7">
        <f t="shared" si="94"/>
        <v>0.68537808537437539</v>
      </c>
      <c r="AA44" s="7">
        <f t="shared" si="95"/>
        <v>0.30285343213868998</v>
      </c>
      <c r="AC44" s="30">
        <v>5.1999999999999904</v>
      </c>
      <c r="AD44" s="31">
        <f t="shared" si="0"/>
        <v>0.71910541035344577</v>
      </c>
      <c r="AF44" s="32"/>
    </row>
    <row r="45" spans="2:32" x14ac:dyDescent="0.3">
      <c r="B45" s="6">
        <v>1000</v>
      </c>
      <c r="C45" s="6">
        <v>1E-3</v>
      </c>
      <c r="D45" s="6">
        <v>1</v>
      </c>
      <c r="E45" s="6">
        <f t="shared" si="77"/>
        <v>0.30303030303030304</v>
      </c>
      <c r="F45" s="6">
        <v>1</v>
      </c>
      <c r="G45" s="13">
        <v>1</v>
      </c>
      <c r="H45" s="6">
        <v>0.3</v>
      </c>
      <c r="I45" s="10">
        <v>3.3</v>
      </c>
      <c r="J45" s="7">
        <f t="shared" si="78"/>
        <v>1.254</v>
      </c>
      <c r="K45" s="7">
        <f t="shared" si="79"/>
        <v>0.254</v>
      </c>
      <c r="L45" s="7">
        <f t="shared" si="80"/>
        <v>0.71</v>
      </c>
      <c r="M45" s="7">
        <f t="shared" si="81"/>
        <v>0.7</v>
      </c>
      <c r="N45" s="7">
        <f t="shared" si="82"/>
        <v>6.065400247007223E-2</v>
      </c>
      <c r="O45" s="7">
        <f t="shared" si="83"/>
        <v>11.540870700913636</v>
      </c>
      <c r="P45" s="11">
        <f t="shared" si="84"/>
        <v>1.4285714285714286</v>
      </c>
      <c r="Q45" s="11">
        <f t="shared" si="85"/>
        <v>1</v>
      </c>
      <c r="R45" s="7">
        <f t="shared" si="86"/>
        <v>0.7</v>
      </c>
      <c r="S45" s="7">
        <f t="shared" si="87"/>
        <v>4.8999999999999998E-4</v>
      </c>
      <c r="T45" s="7">
        <f t="shared" si="88"/>
        <v>1.4285714285714286</v>
      </c>
      <c r="U45" s="19">
        <f t="shared" si="89"/>
        <v>0.3</v>
      </c>
      <c r="V45" s="7">
        <f t="shared" si="90"/>
        <v>4.8999999999999998E-4</v>
      </c>
      <c r="W45" s="7">
        <f t="shared" si="91"/>
        <v>6.9999999999999999E-4</v>
      </c>
      <c r="X45" s="7">
        <f t="shared" si="92"/>
        <v>1.3635880292817131</v>
      </c>
      <c r="Y45" s="7">
        <f t="shared" si="93"/>
        <v>2.2239800905693157</v>
      </c>
      <c r="Z45" s="7">
        <f t="shared" si="94"/>
        <v>0.53781590307949412</v>
      </c>
      <c r="AA45" s="7">
        <f t="shared" si="95"/>
        <v>0.20218000823357413</v>
      </c>
      <c r="AC45" s="30">
        <v>5.2999999999999901</v>
      </c>
      <c r="AD45" s="31">
        <f t="shared" si="0"/>
        <v>0.71637087512363762</v>
      </c>
      <c r="AF45" s="32"/>
    </row>
    <row r="46" spans="2:32" x14ac:dyDescent="0.3">
      <c r="B46" s="6">
        <v>1000</v>
      </c>
      <c r="C46" s="6">
        <v>1E-3</v>
      </c>
      <c r="D46" s="6">
        <v>1</v>
      </c>
      <c r="E46" s="6">
        <f t="shared" si="77"/>
        <v>0.16666666666666666</v>
      </c>
      <c r="F46" s="6">
        <v>1</v>
      </c>
      <c r="G46" s="13">
        <v>1</v>
      </c>
      <c r="H46" s="6">
        <v>0.3</v>
      </c>
      <c r="I46" s="10">
        <v>6</v>
      </c>
      <c r="J46" s="7">
        <f t="shared" si="78"/>
        <v>1.32</v>
      </c>
      <c r="K46" s="7">
        <f t="shared" si="79"/>
        <v>0.32000000000000006</v>
      </c>
      <c r="L46" s="7">
        <f t="shared" si="80"/>
        <v>0.66700000000000004</v>
      </c>
      <c r="M46" s="7">
        <f t="shared" si="81"/>
        <v>0.7</v>
      </c>
      <c r="N46" s="7">
        <f t="shared" si="82"/>
        <v>4.0716264248923592E-2</v>
      </c>
      <c r="O46" s="7">
        <f t="shared" si="83"/>
        <v>17.19214699365514</v>
      </c>
      <c r="P46" s="11">
        <f t="shared" si="84"/>
        <v>1.4285714285714286</v>
      </c>
      <c r="Q46" s="11">
        <f t="shared" si="85"/>
        <v>1</v>
      </c>
      <c r="R46" s="7">
        <f t="shared" si="86"/>
        <v>0.7</v>
      </c>
      <c r="S46" s="7">
        <f t="shared" si="87"/>
        <v>4.8999999999999998E-4</v>
      </c>
      <c r="T46" s="7">
        <f t="shared" si="88"/>
        <v>1.4285714285714286</v>
      </c>
      <c r="U46" s="19">
        <f t="shared" si="89"/>
        <v>0.3</v>
      </c>
      <c r="V46" s="7">
        <f t="shared" si="90"/>
        <v>4.8999999999999998E-4</v>
      </c>
      <c r="W46" s="7">
        <f t="shared" si="91"/>
        <v>6.9999999999999999E-4</v>
      </c>
      <c r="X46" s="7">
        <f t="shared" si="92"/>
        <v>1.5367762568710659</v>
      </c>
      <c r="Y46" s="7">
        <f t="shared" si="93"/>
        <v>2.7144176165949063</v>
      </c>
      <c r="Z46" s="7">
        <f t="shared" si="94"/>
        <v>0.42342716410455333</v>
      </c>
      <c r="AA46" s="7">
        <f t="shared" si="95"/>
        <v>0.13572088082974532</v>
      </c>
      <c r="AC46" s="30">
        <v>5.3999999999999897</v>
      </c>
      <c r="AD46" s="31">
        <f t="shared" si="0"/>
        <v>0.71369756078530489</v>
      </c>
      <c r="AF46" s="32"/>
    </row>
    <row r="47" spans="2:32" x14ac:dyDescent="0.3">
      <c r="B47" s="6">
        <v>1000</v>
      </c>
      <c r="C47" s="6">
        <v>1E-3</v>
      </c>
      <c r="D47" s="6">
        <v>1</v>
      </c>
      <c r="E47" s="6">
        <f t="shared" si="77"/>
        <v>0.1</v>
      </c>
      <c r="F47" s="6">
        <v>1</v>
      </c>
      <c r="G47" s="13">
        <v>1</v>
      </c>
      <c r="H47" s="6">
        <v>0.3</v>
      </c>
      <c r="I47" s="10">
        <v>10</v>
      </c>
      <c r="J47" s="7">
        <f t="shared" si="78"/>
        <v>1.3800000000000001</v>
      </c>
      <c r="K47" s="7">
        <f t="shared" si="79"/>
        <v>0.38000000000000012</v>
      </c>
      <c r="L47" s="7">
        <f t="shared" si="80"/>
        <v>0.64900000000000002</v>
      </c>
      <c r="M47" s="7">
        <f t="shared" si="81"/>
        <v>0.7</v>
      </c>
      <c r="N47" s="7">
        <f t="shared" si="82"/>
        <v>2.896468153816888E-2</v>
      </c>
      <c r="O47" s="7">
        <f t="shared" si="83"/>
        <v>24.16736393519669</v>
      </c>
      <c r="P47" s="11">
        <f t="shared" si="84"/>
        <v>1.4285714285714286</v>
      </c>
      <c r="Q47" s="11">
        <f t="shared" si="85"/>
        <v>1</v>
      </c>
      <c r="R47" s="7">
        <f t="shared" si="86"/>
        <v>0.7</v>
      </c>
      <c r="S47" s="7">
        <f t="shared" si="87"/>
        <v>4.8999999999999998E-4</v>
      </c>
      <c r="T47" s="7">
        <f t="shared" si="88"/>
        <v>1.4285714285714286</v>
      </c>
      <c r="U47" s="19">
        <f t="shared" si="89"/>
        <v>0.3</v>
      </c>
      <c r="V47" s="7">
        <f t="shared" si="90"/>
        <v>4.8999999999999998E-4</v>
      </c>
      <c r="W47" s="7">
        <f t="shared" si="91"/>
        <v>6.9999999999999999E-4</v>
      </c>
      <c r="X47" s="7">
        <f t="shared" si="92"/>
        <v>1.7020816592134811</v>
      </c>
      <c r="Y47" s="7">
        <f t="shared" si="93"/>
        <v>3.2182979486854326</v>
      </c>
      <c r="Z47" s="7">
        <f t="shared" si="94"/>
        <v>0.34517490659800815</v>
      </c>
      <c r="AA47" s="7">
        <f t="shared" si="95"/>
        <v>9.6548938460562964E-2</v>
      </c>
      <c r="AC47" s="30">
        <v>5.4999999999999902</v>
      </c>
      <c r="AD47" s="31">
        <f t="shared" si="0"/>
        <v>0.71108300039414551</v>
      </c>
      <c r="AF47" s="32"/>
    </row>
    <row r="48" spans="2:32" x14ac:dyDescent="0.3">
      <c r="B48" s="6">
        <v>1000</v>
      </c>
      <c r="C48" s="6">
        <v>1E-3</v>
      </c>
      <c r="D48" s="6">
        <v>1</v>
      </c>
      <c r="E48" s="6">
        <f t="shared" si="77"/>
        <v>0.05</v>
      </c>
      <c r="F48" s="6">
        <v>1</v>
      </c>
      <c r="G48" s="13">
        <v>1</v>
      </c>
      <c r="H48" s="6">
        <v>0.3</v>
      </c>
      <c r="I48" s="10">
        <v>20</v>
      </c>
      <c r="J48" s="7">
        <f t="shared" si="78"/>
        <v>1.5199999999999998</v>
      </c>
      <c r="K48" s="7">
        <f t="shared" si="79"/>
        <v>0.5199999999999998</v>
      </c>
      <c r="L48" s="7">
        <f t="shared" si="80"/>
        <v>0.63400000000000001</v>
      </c>
      <c r="M48" s="7">
        <f t="shared" si="81"/>
        <v>0.7</v>
      </c>
      <c r="N48" s="7">
        <f t="shared" si="82"/>
        <v>1.8246605986720198E-2</v>
      </c>
      <c r="O48" s="7">
        <f t="shared" si="83"/>
        <v>38.363298934029537</v>
      </c>
      <c r="P48" s="11">
        <f t="shared" si="84"/>
        <v>1.4285714285714286</v>
      </c>
      <c r="Q48" s="11">
        <f t="shared" si="85"/>
        <v>1</v>
      </c>
      <c r="R48" s="7">
        <f t="shared" si="86"/>
        <v>0.7</v>
      </c>
      <c r="S48" s="7">
        <f t="shared" si="87"/>
        <v>4.8999999999999998E-4</v>
      </c>
      <c r="T48" s="7">
        <f t="shared" si="88"/>
        <v>1.4285714285714286</v>
      </c>
      <c r="U48" s="19">
        <f t="shared" si="89"/>
        <v>0.3</v>
      </c>
      <c r="V48" s="7">
        <f t="shared" si="90"/>
        <v>4.8999999999999998E-4</v>
      </c>
      <c r="W48" s="7">
        <f t="shared" si="91"/>
        <v>6.9999999999999999E-4</v>
      </c>
      <c r="X48" s="7">
        <f t="shared" si="92"/>
        <v>1.9551784020091498</v>
      </c>
      <c r="Y48" s="7">
        <f t="shared" si="93"/>
        <v>4.0548013303822668</v>
      </c>
      <c r="Z48" s="7">
        <f t="shared" si="94"/>
        <v>0.26159366213714019</v>
      </c>
      <c r="AA48" s="7">
        <f t="shared" si="95"/>
        <v>6.0822019955734004E-2</v>
      </c>
      <c r="AC48" s="30">
        <v>5.5999999999999899</v>
      </c>
      <c r="AD48" s="31">
        <f t="shared" si="0"/>
        <v>0.70852486900125644</v>
      </c>
      <c r="AF48" s="32"/>
    </row>
    <row r="49" spans="9:32" x14ac:dyDescent="0.3">
      <c r="AC49" s="30">
        <v>5.6999999999999904</v>
      </c>
      <c r="AD49" s="31">
        <f t="shared" si="0"/>
        <v>0.70602097311519829</v>
      </c>
      <c r="AF49" s="32"/>
    </row>
    <row r="50" spans="9:32" x14ac:dyDescent="0.3">
      <c r="U50" s="1"/>
      <c r="V50" s="1"/>
      <c r="AC50" s="30">
        <v>5.7999999999999901</v>
      </c>
      <c r="AD50" s="31">
        <f t="shared" si="0"/>
        <v>0.70356924111552532</v>
      </c>
      <c r="AF50" s="32"/>
    </row>
    <row r="51" spans="9:32" x14ac:dyDescent="0.3">
      <c r="I51" s="1"/>
      <c r="U51" s="1"/>
      <c r="V51" s="1"/>
      <c r="AC51" s="30">
        <v>5.8999999999999897</v>
      </c>
      <c r="AD51" s="31">
        <f t="shared" si="0"/>
        <v>0.70116771451709536</v>
      </c>
      <c r="AF51" s="32"/>
    </row>
    <row r="52" spans="9:32" x14ac:dyDescent="0.3">
      <c r="I52" s="1"/>
      <c r="U52" s="1"/>
      <c r="V52" s="1"/>
      <c r="AC52" s="30">
        <v>5.9999999999999902</v>
      </c>
      <c r="AD52" s="31">
        <f t="shared" si="0"/>
        <v>0.69881453999665077</v>
      </c>
      <c r="AF52" s="32"/>
    </row>
    <row r="53" spans="9:32" x14ac:dyDescent="0.3">
      <c r="I53" s="1"/>
      <c r="U53" s="1"/>
      <c r="V53" s="1"/>
      <c r="AC53" s="30">
        <v>6.0999999999999899</v>
      </c>
      <c r="AD53" s="31">
        <f t="shared" si="0"/>
        <v>0.69650796210366395</v>
      </c>
      <c r="AF53" s="32"/>
    </row>
    <row r="54" spans="9:32" x14ac:dyDescent="0.3">
      <c r="I54" s="1"/>
      <c r="U54" s="1"/>
      <c r="V54" s="1"/>
      <c r="AC54" s="30">
        <v>6.1999999999999904</v>
      </c>
      <c r="AD54" s="31">
        <f t="shared" si="0"/>
        <v>0.6942463165865711</v>
      </c>
      <c r="AF54" s="32"/>
    </row>
    <row r="55" spans="9:32" x14ac:dyDescent="0.3">
      <c r="I55" s="1"/>
      <c r="U55" s="1"/>
      <c r="V55" s="1"/>
      <c r="AC55" s="30">
        <v>6.2999999999999901</v>
      </c>
      <c r="AD55" s="31">
        <f t="shared" si="0"/>
        <v>0.69202802427344057</v>
      </c>
      <c r="AF55" s="32"/>
    </row>
    <row r="56" spans="9:32" x14ac:dyDescent="0.3">
      <c r="AC56" s="30">
        <v>6.3999999999999897</v>
      </c>
      <c r="AD56" s="31">
        <f t="shared" si="0"/>
        <v>0.68985158545301273</v>
      </c>
      <c r="AF56" s="32"/>
    </row>
    <row r="57" spans="9:32" x14ac:dyDescent="0.3">
      <c r="AC57" s="30">
        <v>6.4999999999999902</v>
      </c>
      <c r="AD57" s="31">
        <f t="shared" si="0"/>
        <v>0.68771557470808675</v>
      </c>
      <c r="AF57" s="32"/>
    </row>
    <row r="58" spans="9:32" x14ac:dyDescent="0.3">
      <c r="AC58" s="30">
        <v>6.5999999999999899</v>
      </c>
      <c r="AD58" s="31">
        <f t="shared" si="0"/>
        <v>0.68561863615849983</v>
      </c>
      <c r="AF58" s="32"/>
    </row>
    <row r="59" spans="9:32" x14ac:dyDescent="0.3">
      <c r="AC59" s="30">
        <v>6.6999999999999904</v>
      </c>
      <c r="AD59" s="31">
        <f t="shared" si="0"/>
        <v>0.6835594790755587</v>
      </c>
      <c r="AF59" s="32"/>
    </row>
    <row r="60" spans="9:32" x14ac:dyDescent="0.3">
      <c r="AC60" s="30">
        <v>6.7999999999999901</v>
      </c>
      <c r="AD60" s="31">
        <f t="shared" si="0"/>
        <v>0.68153687383385531</v>
      </c>
      <c r="AF60" s="32"/>
    </row>
    <row r="61" spans="9:32" x14ac:dyDescent="0.3">
      <c r="AC61" s="30">
        <v>6.8999999999999897</v>
      </c>
      <c r="AD61" s="31">
        <f t="shared" si="0"/>
        <v>0.67954964816996788</v>
      </c>
      <c r="AF61" s="32"/>
    </row>
    <row r="62" spans="9:32" x14ac:dyDescent="0.3">
      <c r="AC62" s="30">
        <v>6.9999999999999902</v>
      </c>
      <c r="AD62" s="31">
        <f t="shared" si="0"/>
        <v>0.6775966837207118</v>
      </c>
      <c r="AF62" s="32"/>
    </row>
    <row r="63" spans="9:32" x14ac:dyDescent="0.3">
      <c r="AC63" s="30">
        <v>7.0999999999999899</v>
      </c>
      <c r="AD63" s="31">
        <f t="shared" si="0"/>
        <v>0.67567691281638276</v>
      </c>
      <c r="AF63" s="32"/>
    </row>
    <row r="64" spans="9:32" x14ac:dyDescent="0.3">
      <c r="AC64" s="30">
        <v>7.1999999999999904</v>
      </c>
      <c r="AD64" s="31">
        <f t="shared" si="0"/>
        <v>0.67378931550691301</v>
      </c>
      <c r="AF64" s="32"/>
    </row>
    <row r="65" spans="29:32" x14ac:dyDescent="0.3">
      <c r="AC65" s="30">
        <v>7.2999999999999901</v>
      </c>
      <c r="AD65" s="31">
        <f t="shared" si="0"/>
        <v>0.67193291680104872</v>
      </c>
      <c r="AF65" s="32"/>
    </row>
    <row r="66" spans="29:32" x14ac:dyDescent="0.3">
      <c r="AC66" s="30">
        <v>7.3999999999999897</v>
      </c>
      <c r="AD66" s="31">
        <f t="shared" si="0"/>
        <v>0.67010678410059854</v>
      </c>
      <c r="AF66" s="32"/>
    </row>
    <row r="67" spans="29:32" x14ac:dyDescent="0.3">
      <c r="AC67" s="30">
        <v>7.4999999999999902</v>
      </c>
      <c r="AD67" s="31">
        <f t="shared" ref="AD67:AD130" si="96">(((EXP(-0.000003*AC67))*(((AC67^0.2)+1)/(AC67^0.2) - 1)))^(1)</f>
        <v>0.66831002481354373</v>
      </c>
      <c r="AF67" s="32"/>
    </row>
    <row r="68" spans="29:32" x14ac:dyDescent="0.3">
      <c r="AC68" s="30">
        <v>7.5999999999999899</v>
      </c>
      <c r="AD68" s="31">
        <f t="shared" si="96"/>
        <v>0.66654178413133502</v>
      </c>
      <c r="AF68" s="32"/>
    </row>
    <row r="69" spans="29:32" x14ac:dyDescent="0.3">
      <c r="AC69" s="30">
        <v>7.6999999999999904</v>
      </c>
      <c r="AD69" s="31">
        <f t="shared" si="96"/>
        <v>0.66480124295709397</v>
      </c>
      <c r="AF69" s="32"/>
    </row>
    <row r="70" spans="29:32" x14ac:dyDescent="0.3">
      <c r="AC70" s="30">
        <v>7.7999999999999901</v>
      </c>
      <c r="AD70" s="31">
        <f t="shared" si="96"/>
        <v>0.66308761597265076</v>
      </c>
      <c r="AF70" s="32"/>
    </row>
    <row r="71" spans="29:32" x14ac:dyDescent="0.3">
      <c r="AC71" s="30">
        <v>7.8999999999999897</v>
      </c>
      <c r="AD71" s="31">
        <f t="shared" si="96"/>
        <v>0.66140014983347351</v>
      </c>
      <c r="AF71" s="32"/>
    </row>
    <row r="72" spans="29:32" x14ac:dyDescent="0.3">
      <c r="AC72" s="30">
        <v>7.9999999999999902</v>
      </c>
      <c r="AD72" s="31">
        <f t="shared" si="96"/>
        <v>0.65973812148152566</v>
      </c>
      <c r="AF72" s="32"/>
    </row>
    <row r="73" spans="29:32" x14ac:dyDescent="0.3">
      <c r="AC73" s="30">
        <v>8.0999999999999908</v>
      </c>
      <c r="AD73" s="31">
        <f t="shared" si="96"/>
        <v>0.65810083656697571</v>
      </c>
      <c r="AF73" s="32"/>
    </row>
    <row r="74" spans="29:32" x14ac:dyDescent="0.3">
      <c r="AC74" s="30">
        <v>8.1999999999999904</v>
      </c>
      <c r="AD74" s="31">
        <f t="shared" si="96"/>
        <v>0.65648762797049265</v>
      </c>
      <c r="AF74" s="32"/>
    </row>
    <row r="75" spans="29:32" x14ac:dyDescent="0.3">
      <c r="AC75" s="30">
        <v>8.2999999999999901</v>
      </c>
      <c r="AD75" s="31">
        <f t="shared" si="96"/>
        <v>0.6548978544185754</v>
      </c>
      <c r="AF75" s="32"/>
    </row>
    <row r="76" spans="29:32" x14ac:dyDescent="0.3">
      <c r="AC76" s="30">
        <v>8.3999999999999897</v>
      </c>
      <c r="AD76" s="31">
        <f t="shared" si="96"/>
        <v>0.65333089918501019</v>
      </c>
      <c r="AF76" s="32"/>
    </row>
    <row r="77" spans="29:32" x14ac:dyDescent="0.3">
      <c r="AC77" s="30">
        <v>8.4999999999999893</v>
      </c>
      <c r="AD77" s="31">
        <f t="shared" si="96"/>
        <v>0.6517861688721569</v>
      </c>
      <c r="AF77" s="32"/>
    </row>
    <row r="78" spans="29:32" x14ac:dyDescent="0.3">
      <c r="AC78" s="30">
        <v>8.5999999999999908</v>
      </c>
      <c r="AD78" s="31">
        <f t="shared" si="96"/>
        <v>0.65026309226626433</v>
      </c>
      <c r="AF78" s="32"/>
    </row>
    <row r="79" spans="29:32" x14ac:dyDescent="0.3">
      <c r="AC79" s="30">
        <v>8.6999999999999904</v>
      </c>
      <c r="AD79" s="31">
        <f t="shared" si="96"/>
        <v>0.64876111926153124</v>
      </c>
      <c r="AF79" s="32"/>
    </row>
    <row r="80" spans="29:32" x14ac:dyDescent="0.3">
      <c r="AC80" s="30">
        <v>8.7999999999999901</v>
      </c>
      <c r="AD80" s="31">
        <f t="shared" si="96"/>
        <v>0.64727971984803379</v>
      </c>
      <c r="AF80" s="32"/>
    </row>
    <row r="81" spans="29:32" x14ac:dyDescent="0.3">
      <c r="AC81" s="30">
        <v>8.8999999999999897</v>
      </c>
      <c r="AD81" s="31">
        <f t="shared" si="96"/>
        <v>0.64581838315905971</v>
      </c>
      <c r="AF81" s="32"/>
    </row>
    <row r="82" spans="29:32" x14ac:dyDescent="0.3">
      <c r="AC82" s="30">
        <v>8.9999999999999893</v>
      </c>
      <c r="AD82" s="31">
        <f t="shared" si="96"/>
        <v>0.64437661657372958</v>
      </c>
      <c r="AF82" s="32"/>
    </row>
    <row r="83" spans="29:32" x14ac:dyDescent="0.3">
      <c r="AC83" s="30">
        <v>9.0999999999999908</v>
      </c>
      <c r="AD83" s="31">
        <f t="shared" si="96"/>
        <v>0.64295394487112967</v>
      </c>
      <c r="AF83" s="32"/>
    </row>
    <row r="84" spans="29:32" x14ac:dyDescent="0.3">
      <c r="AC84" s="30">
        <v>9.1999999999999904</v>
      </c>
      <c r="AD84" s="31">
        <f t="shared" si="96"/>
        <v>0.64154990943246415</v>
      </c>
      <c r="AF84" s="32"/>
    </row>
    <row r="85" spans="29:32" x14ac:dyDescent="0.3">
      <c r="AC85" s="30">
        <v>9.2999999999999901</v>
      </c>
      <c r="AD85" s="31">
        <f t="shared" si="96"/>
        <v>0.64016406748801358</v>
      </c>
      <c r="AF85" s="32"/>
    </row>
    <row r="86" spans="29:32" x14ac:dyDescent="0.3">
      <c r="AC86" s="30">
        <v>9.3999999999999897</v>
      </c>
      <c r="AD86" s="31">
        <f t="shared" si="96"/>
        <v>0.63879599140593057</v>
      </c>
      <c r="AF86" s="32"/>
    </row>
    <row r="87" spans="29:32" x14ac:dyDescent="0.3">
      <c r="AC87" s="30">
        <v>9.4999999999999893</v>
      </c>
      <c r="AD87" s="31">
        <f t="shared" si="96"/>
        <v>0.63744526802013046</v>
      </c>
      <c r="AF87" s="32"/>
    </row>
    <row r="88" spans="29:32" x14ac:dyDescent="0.3">
      <c r="AC88" s="30">
        <v>9.5999999999999908</v>
      </c>
      <c r="AD88" s="31">
        <f t="shared" si="96"/>
        <v>0.6361114979947432</v>
      </c>
      <c r="AF88" s="32"/>
    </row>
    <row r="89" spans="29:32" x14ac:dyDescent="0.3">
      <c r="AC89" s="30">
        <v>9.6999999999999904</v>
      </c>
      <c r="AD89" s="31">
        <f t="shared" si="96"/>
        <v>0.63479429522277842</v>
      </c>
      <c r="AF89" s="32"/>
    </row>
    <row r="90" spans="29:32" x14ac:dyDescent="0.3">
      <c r="AC90" s="30">
        <v>9.7999999999999901</v>
      </c>
      <c r="AD90" s="31">
        <f t="shared" si="96"/>
        <v>0.63349328625682799</v>
      </c>
      <c r="AF90" s="32"/>
    </row>
    <row r="91" spans="29:32" x14ac:dyDescent="0.3">
      <c r="AC91" s="30">
        <v>9.8999999999999897</v>
      </c>
      <c r="AD91" s="31">
        <f t="shared" si="96"/>
        <v>0.63220810976979636</v>
      </c>
      <c r="AF91" s="32"/>
    </row>
    <row r="92" spans="29:32" x14ac:dyDescent="0.3">
      <c r="AC92" s="30">
        <v>9.9999999999999893</v>
      </c>
      <c r="AD92" s="31">
        <f t="shared" si="96"/>
        <v>0.63093841604378686</v>
      </c>
      <c r="AF92" s="32"/>
    </row>
    <row r="93" spans="29:32" x14ac:dyDescent="0.3">
      <c r="AC93" s="30">
        <v>11</v>
      </c>
      <c r="AD93" s="31">
        <f t="shared" si="96"/>
        <v>0.61902349257152856</v>
      </c>
      <c r="AF93" s="32"/>
    </row>
    <row r="94" spans="29:32" x14ac:dyDescent="0.3">
      <c r="AC94" s="30">
        <v>12</v>
      </c>
      <c r="AD94" s="31">
        <f t="shared" si="96"/>
        <v>0.6083424411711128</v>
      </c>
      <c r="AF94" s="32"/>
    </row>
    <row r="95" spans="29:32" x14ac:dyDescent="0.3">
      <c r="AC95" s="30">
        <v>13</v>
      </c>
      <c r="AD95" s="31">
        <f t="shared" si="96"/>
        <v>0.59867950658543945</v>
      </c>
      <c r="AF95" s="32"/>
    </row>
    <row r="96" spans="29:32" x14ac:dyDescent="0.3">
      <c r="AC96" s="30">
        <v>14</v>
      </c>
      <c r="AD96" s="31">
        <f t="shared" si="96"/>
        <v>0.58986978730505057</v>
      </c>
      <c r="AF96" s="32"/>
    </row>
    <row r="97" spans="29:32" x14ac:dyDescent="0.3">
      <c r="AC97" s="30">
        <v>15</v>
      </c>
      <c r="AD97" s="31">
        <f t="shared" si="96"/>
        <v>0.58178457825760088</v>
      </c>
      <c r="AF97" s="32"/>
    </row>
    <row r="98" spans="29:32" x14ac:dyDescent="0.3">
      <c r="AC98" s="30">
        <v>16</v>
      </c>
      <c r="AD98" s="31">
        <f t="shared" si="96"/>
        <v>0.57432160939963717</v>
      </c>
      <c r="AF98" s="32"/>
    </row>
    <row r="99" spans="29:32" x14ac:dyDescent="0.3">
      <c r="AC99" s="30">
        <v>17.000000000000099</v>
      </c>
      <c r="AD99" s="31">
        <f t="shared" si="96"/>
        <v>0.56739834761793684</v>
      </c>
      <c r="AF99" s="32"/>
    </row>
    <row r="100" spans="29:32" x14ac:dyDescent="0.3">
      <c r="AC100" s="30">
        <v>18.000000000000099</v>
      </c>
      <c r="AD100" s="31">
        <f t="shared" si="96"/>
        <v>0.56094728075206257</v>
      </c>
      <c r="AF100" s="32"/>
    </row>
    <row r="101" spans="29:32" x14ac:dyDescent="0.3">
      <c r="AC101" s="30">
        <v>19.000000000000099</v>
      </c>
      <c r="AD101" s="31">
        <f t="shared" si="96"/>
        <v>0.55491252191313234</v>
      </c>
      <c r="AF101" s="32"/>
    </row>
    <row r="102" spans="29:32" x14ac:dyDescent="0.3">
      <c r="AC102" s="30">
        <v>20.000000000000099</v>
      </c>
      <c r="AD102" s="31">
        <f t="shared" si="96"/>
        <v>0.54924731582544384</v>
      </c>
      <c r="AF102" s="32"/>
    </row>
    <row r="103" spans="29:32" x14ac:dyDescent="0.3">
      <c r="AC103" s="30">
        <v>21.000000000000099</v>
      </c>
      <c r="AD103" s="31">
        <f t="shared" si="96"/>
        <v>0.54391217534241487</v>
      </c>
      <c r="AF103" s="32"/>
    </row>
    <row r="104" spans="29:32" x14ac:dyDescent="0.3">
      <c r="AC104" s="30">
        <v>22.000000000000099</v>
      </c>
      <c r="AD104" s="31">
        <f t="shared" si="96"/>
        <v>0.53887346703384598</v>
      </c>
      <c r="AF104" s="32"/>
    </row>
    <row r="105" spans="29:32" x14ac:dyDescent="0.3">
      <c r="AC105" s="30">
        <v>23.000000000000099</v>
      </c>
      <c r="AD105" s="31">
        <f t="shared" si="96"/>
        <v>0.53410232251250533</v>
      </c>
      <c r="AF105" s="32"/>
    </row>
    <row r="106" spans="29:32" x14ac:dyDescent="0.3">
      <c r="AC106" s="30">
        <v>24.000000000000099</v>
      </c>
      <c r="AD106" s="31">
        <f t="shared" si="96"/>
        <v>0.52957378983884906</v>
      </c>
      <c r="AF106" s="32"/>
    </row>
    <row r="107" spans="29:32" x14ac:dyDescent="0.3">
      <c r="AC107" s="30">
        <v>25.000000000000199</v>
      </c>
      <c r="AD107" s="31">
        <f t="shared" si="96"/>
        <v>0.52526616444107133</v>
      </c>
      <c r="AF107" s="32"/>
    </row>
    <row r="108" spans="29:32" x14ac:dyDescent="0.3">
      <c r="AC108" s="30">
        <v>26.000000000000199</v>
      </c>
      <c r="AD108" s="31">
        <f t="shared" si="96"/>
        <v>0.52116045603766581</v>
      </c>
      <c r="AF108" s="32"/>
    </row>
    <row r="109" spans="29:32" x14ac:dyDescent="0.3">
      <c r="AC109" s="30">
        <v>27.000000000000199</v>
      </c>
      <c r="AD109" s="31">
        <f t="shared" si="96"/>
        <v>0.51723995983818727</v>
      </c>
      <c r="AF109" s="32"/>
    </row>
    <row r="110" spans="29:32" x14ac:dyDescent="0.3">
      <c r="AC110" s="30">
        <v>28.000000000000199</v>
      </c>
      <c r="AD110" s="31">
        <f t="shared" si="96"/>
        <v>0.51348990858071131</v>
      </c>
      <c r="AF110" s="32"/>
    </row>
    <row r="111" spans="29:32" x14ac:dyDescent="0.3">
      <c r="AC111" s="30">
        <v>29.000000000000199</v>
      </c>
      <c r="AD111" s="31">
        <f t="shared" si="96"/>
        <v>0.50989718787036487</v>
      </c>
      <c r="AF111" s="32"/>
    </row>
    <row r="112" spans="29:32" x14ac:dyDescent="0.3">
      <c r="AC112" s="30">
        <v>30.000000000000199</v>
      </c>
      <c r="AD112" s="31">
        <f t="shared" si="96"/>
        <v>0.50645010155179349</v>
      </c>
      <c r="AF112" s="32"/>
    </row>
    <row r="113" spans="29:32" x14ac:dyDescent="0.3">
      <c r="AC113" s="30">
        <v>31.000000000000199</v>
      </c>
      <c r="AD113" s="31">
        <f t="shared" si="96"/>
        <v>0.50313817697216634</v>
      </c>
      <c r="AF113" s="32"/>
    </row>
    <row r="114" spans="29:32" x14ac:dyDescent="0.3">
      <c r="AC114" s="30">
        <v>32.000000000000199</v>
      </c>
      <c r="AD114" s="31">
        <f t="shared" si="96"/>
        <v>0.49995200230392561</v>
      </c>
      <c r="AF114" s="32"/>
    </row>
    <row r="115" spans="29:32" x14ac:dyDescent="0.3">
      <c r="AC115" s="30">
        <v>33.000000000000199</v>
      </c>
      <c r="AD115" s="31">
        <f t="shared" si="96"/>
        <v>0.49688308982697715</v>
      </c>
      <c r="AF115" s="32"/>
    </row>
    <row r="116" spans="29:32" x14ac:dyDescent="0.3">
      <c r="AC116" s="30">
        <v>34.000000000000298</v>
      </c>
      <c r="AD116" s="31">
        <f t="shared" si="96"/>
        <v>0.49392376037794655</v>
      </c>
      <c r="AF116" s="32"/>
    </row>
    <row r="117" spans="29:32" x14ac:dyDescent="0.3">
      <c r="AC117" s="30">
        <v>35.000000000000298</v>
      </c>
      <c r="AD117" s="31">
        <f t="shared" si="96"/>
        <v>0.49106704517189076</v>
      </c>
      <c r="AF117" s="32"/>
    </row>
    <row r="118" spans="29:32" x14ac:dyDescent="0.3">
      <c r="AC118" s="30">
        <v>36.000000000000298</v>
      </c>
      <c r="AD118" s="31">
        <f t="shared" si="96"/>
        <v>0.48830660196966669</v>
      </c>
      <c r="AF118" s="32"/>
    </row>
    <row r="119" spans="29:32" x14ac:dyDescent="0.3">
      <c r="AC119" s="30">
        <v>37.000000000000298</v>
      </c>
      <c r="AD119" s="31">
        <f t="shared" si="96"/>
        <v>0.48563664315987459</v>
      </c>
      <c r="AF119" s="32"/>
    </row>
    <row r="120" spans="29:32" x14ac:dyDescent="0.3">
      <c r="AC120" s="30">
        <v>38.000000000000298</v>
      </c>
      <c r="AD120" s="31">
        <f t="shared" si="96"/>
        <v>0.48305187379001108</v>
      </c>
      <c r="AF120" s="32"/>
    </row>
    <row r="121" spans="29:32" x14ac:dyDescent="0.3">
      <c r="AC121" s="30">
        <v>39.000000000000298</v>
      </c>
      <c r="AD121" s="31">
        <f t="shared" si="96"/>
        <v>0.48054743794821586</v>
      </c>
      <c r="AF121" s="32"/>
    </row>
    <row r="122" spans="29:32" x14ac:dyDescent="0.3">
      <c r="AC122" s="30">
        <v>40.000000000000298</v>
      </c>
      <c r="AD122" s="31">
        <f t="shared" si="96"/>
        <v>0.47811887218776161</v>
      </c>
      <c r="AF122" s="32"/>
    </row>
    <row r="123" spans="29:32" x14ac:dyDescent="0.3">
      <c r="AC123" s="30">
        <v>41.000000000000298</v>
      </c>
      <c r="AD123" s="31">
        <f t="shared" si="96"/>
        <v>0.47576206491846024</v>
      </c>
      <c r="AF123" s="32"/>
    </row>
    <row r="124" spans="29:32" x14ac:dyDescent="0.3">
      <c r="AC124" s="30">
        <v>42.000000000000298</v>
      </c>
      <c r="AD124" s="31">
        <f t="shared" si="96"/>
        <v>0.47347322087541688</v>
      </c>
      <c r="AF124" s="32"/>
    </row>
    <row r="125" spans="29:32" x14ac:dyDescent="0.3">
      <c r="AC125" s="30">
        <v>43.000000000000398</v>
      </c>
      <c r="AD125" s="31">
        <f t="shared" si="96"/>
        <v>0.47124882992596911</v>
      </c>
      <c r="AF125" s="32"/>
    </row>
    <row r="126" spans="29:32" x14ac:dyDescent="0.3">
      <c r="AC126" s="30">
        <v>44.000000000000398</v>
      </c>
      <c r="AD126" s="31">
        <f t="shared" si="96"/>
        <v>0.46908563959774496</v>
      </c>
      <c r="AF126" s="32"/>
    </row>
    <row r="127" spans="29:32" x14ac:dyDescent="0.3">
      <c r="AC127" s="30">
        <v>45.000000000000398</v>
      </c>
      <c r="AD127" s="31">
        <f t="shared" si="96"/>
        <v>0.4669806308104214</v>
      </c>
      <c r="AF127" s="32"/>
    </row>
    <row r="128" spans="29:32" x14ac:dyDescent="0.3">
      <c r="AC128" s="30">
        <v>46.000000000000398</v>
      </c>
      <c r="AD128" s="31">
        <f t="shared" si="96"/>
        <v>0.46493099637548568</v>
      </c>
      <c r="AF128" s="32"/>
    </row>
    <row r="129" spans="29:32" x14ac:dyDescent="0.3">
      <c r="AC129" s="30">
        <v>47.000000000000398</v>
      </c>
      <c r="AD129" s="31">
        <f t="shared" si="96"/>
        <v>0.46293412189563915</v>
      </c>
      <c r="AF129" s="32"/>
    </row>
    <row r="130" spans="29:32" x14ac:dyDescent="0.3">
      <c r="AC130" s="30">
        <v>48.000000000000398</v>
      </c>
      <c r="AD130" s="31">
        <f t="shared" si="96"/>
        <v>0.46098756875121433</v>
      </c>
      <c r="AF130" s="32"/>
    </row>
    <row r="131" spans="29:32" x14ac:dyDescent="0.3">
      <c r="AC131" s="30">
        <v>49.000000000000398</v>
      </c>
      <c r="AD131" s="31">
        <f t="shared" ref="AD131:AD194" si="97">(((EXP(-0.000003*AC131))*(((AC131^0.2)+1)/(AC131^0.2) - 1)))^(1)</f>
        <v>0.45908905890730306</v>
      </c>
      <c r="AF131" s="32"/>
    </row>
    <row r="132" spans="29:32" x14ac:dyDescent="0.3">
      <c r="AC132" s="30">
        <v>50.000000000000398</v>
      </c>
      <c r="AD132" s="31">
        <f t="shared" si="97"/>
        <v>0.45723646131396112</v>
      </c>
      <c r="AF132" s="32"/>
    </row>
    <row r="133" spans="29:32" x14ac:dyDescent="0.3">
      <c r="AC133" s="30">
        <v>51.000000000000398</v>
      </c>
      <c r="AD133" s="31">
        <f t="shared" si="97"/>
        <v>0.45542777970425102</v>
      </c>
      <c r="AF133" s="32"/>
    </row>
    <row r="134" spans="29:32" x14ac:dyDescent="0.3">
      <c r="AC134" s="30">
        <v>52.000000000000398</v>
      </c>
      <c r="AD134" s="31">
        <f t="shared" si="97"/>
        <v>0.45366114162213539</v>
      </c>
      <c r="AF134" s="32"/>
    </row>
    <row r="135" spans="29:32" x14ac:dyDescent="0.3">
      <c r="AC135" s="30">
        <v>53.000000000000497</v>
      </c>
      <c r="AD135" s="31">
        <f t="shared" si="97"/>
        <v>0.45193478853522906</v>
      </c>
      <c r="AF135" s="32"/>
    </row>
    <row r="136" spans="29:32" x14ac:dyDescent="0.3">
      <c r="AC136" s="30">
        <v>54.000000000000497</v>
      </c>
      <c r="AD136" s="31">
        <f t="shared" si="97"/>
        <v>0.45024706690690364</v>
      </c>
      <c r="AF136" s="32"/>
    </row>
    <row r="137" spans="29:32" x14ac:dyDescent="0.3">
      <c r="AC137" s="30">
        <v>55.000000000000497</v>
      </c>
      <c r="AD137" s="31">
        <f t="shared" si="97"/>
        <v>0.44859642011878448</v>
      </c>
      <c r="AF137" s="32"/>
    </row>
    <row r="138" spans="29:32" x14ac:dyDescent="0.3">
      <c r="AC138" s="30">
        <v>56.000000000000497</v>
      </c>
      <c r="AD138" s="31">
        <f t="shared" si="97"/>
        <v>0.44698138114880231</v>
      </c>
      <c r="AF138" s="32"/>
    </row>
    <row r="139" spans="29:32" x14ac:dyDescent="0.3">
      <c r="AC139" s="30">
        <v>57.000000000000497</v>
      </c>
      <c r="AD139" s="31">
        <f t="shared" si="97"/>
        <v>0.4454005659220176</v>
      </c>
      <c r="AF139" s="32"/>
    </row>
    <row r="140" spans="29:32" x14ac:dyDescent="0.3">
      <c r="AC140" s="30">
        <v>58.000000000000497</v>
      </c>
      <c r="AD140" s="31">
        <f t="shared" si="97"/>
        <v>0.44385266726179479</v>
      </c>
      <c r="AF140" s="32"/>
    </row>
    <row r="141" spans="29:32" x14ac:dyDescent="0.3">
      <c r="AC141" s="30">
        <v>59.000000000000497</v>
      </c>
      <c r="AD141" s="31">
        <f t="shared" si="97"/>
        <v>0.4423364493777947</v>
      </c>
      <c r="AF141" s="32"/>
    </row>
    <row r="142" spans="29:32" x14ac:dyDescent="0.3">
      <c r="AC142" s="30">
        <v>60.000000000000497</v>
      </c>
      <c r="AD142" s="31">
        <f t="shared" si="97"/>
        <v>0.44085074283493858</v>
      </c>
      <c r="AF142" s="32"/>
    </row>
    <row r="143" spans="29:32" x14ac:dyDescent="0.3">
      <c r="AC143" s="30">
        <v>61.000000000000497</v>
      </c>
      <c r="AD143" s="31">
        <f t="shared" si="97"/>
        <v>0.43939443995412353</v>
      </c>
      <c r="AF143" s="32"/>
    </row>
    <row r="144" spans="29:32" x14ac:dyDescent="0.3">
      <c r="AC144" s="30">
        <v>62.000000000000597</v>
      </c>
      <c r="AD144" s="31">
        <f t="shared" si="97"/>
        <v>0.43796649060123327</v>
      </c>
      <c r="AF144" s="32"/>
    </row>
    <row r="145" spans="29:32" x14ac:dyDescent="0.3">
      <c r="AC145" s="30">
        <v>63.000000000000597</v>
      </c>
      <c r="AD145" s="31">
        <f t="shared" si="97"/>
        <v>0.43656589832597953</v>
      </c>
      <c r="AF145" s="32"/>
    </row>
    <row r="146" spans="29:32" x14ac:dyDescent="0.3">
      <c r="AC146" s="30">
        <v>64.000000000000597</v>
      </c>
      <c r="AD146" s="31">
        <f t="shared" si="97"/>
        <v>0.43519171681646529</v>
      </c>
      <c r="AF146" s="32"/>
    </row>
    <row r="147" spans="29:32" x14ac:dyDescent="0.3">
      <c r="AC147" s="30">
        <v>65.000000000000597</v>
      </c>
      <c r="AD147" s="31">
        <f t="shared" si="97"/>
        <v>0.43384304663917017</v>
      </c>
      <c r="AF147" s="32"/>
    </row>
    <row r="148" spans="29:32" x14ac:dyDescent="0.3">
      <c r="AC148" s="30">
        <v>66.000000000000597</v>
      </c>
      <c r="AD148" s="31">
        <f t="shared" si="97"/>
        <v>0.43251903223737242</v>
      </c>
      <c r="AF148" s="32"/>
    </row>
    <row r="149" spans="29:32" x14ac:dyDescent="0.3">
      <c r="AC149" s="30">
        <v>67.000000000000597</v>
      </c>
      <c r="AD149" s="31">
        <f t="shared" si="97"/>
        <v>0.43121885916395197</v>
      </c>
      <c r="AF149" s="32"/>
    </row>
    <row r="150" spans="29:32" x14ac:dyDescent="0.3">
      <c r="AC150" s="30">
        <v>68.000000000000597</v>
      </c>
      <c r="AD150" s="31">
        <f t="shared" si="97"/>
        <v>0.42994175152707242</v>
      </c>
      <c r="AF150" s="32"/>
    </row>
    <row r="151" spans="29:32" x14ac:dyDescent="0.3">
      <c r="AC151" s="30">
        <v>69.000000000000597</v>
      </c>
      <c r="AD151" s="31">
        <f t="shared" si="97"/>
        <v>0.42868696962950065</v>
      </c>
      <c r="AF151" s="32"/>
    </row>
    <row r="152" spans="29:32" x14ac:dyDescent="0.3">
      <c r="AC152" s="30">
        <v>70.000000000000597</v>
      </c>
      <c r="AD152" s="31">
        <f t="shared" si="97"/>
        <v>0.42745380778431397</v>
      </c>
      <c r="AF152" s="32"/>
    </row>
    <row r="153" spans="29:32" x14ac:dyDescent="0.3">
      <c r="AC153" s="30">
        <v>71.000000000000696</v>
      </c>
      <c r="AD153" s="31">
        <f t="shared" si="97"/>
        <v>0.42624159229150327</v>
      </c>
      <c r="AF153" s="32"/>
    </row>
    <row r="154" spans="29:32" x14ac:dyDescent="0.3">
      <c r="AC154" s="30">
        <v>72.000000000000696</v>
      </c>
      <c r="AD154" s="31">
        <f t="shared" si="97"/>
        <v>0.42504967956153789</v>
      </c>
      <c r="AF154" s="32"/>
    </row>
    <row r="155" spans="29:32" x14ac:dyDescent="0.3">
      <c r="AC155" s="30">
        <v>73.000000000000696</v>
      </c>
      <c r="AD155" s="31">
        <f t="shared" si="97"/>
        <v>0.42387745437333896</v>
      </c>
      <c r="AF155" s="32"/>
    </row>
    <row r="156" spans="29:32" x14ac:dyDescent="0.3">
      <c r="AC156" s="30">
        <v>74.000000000000696</v>
      </c>
      <c r="AD156" s="31">
        <f t="shared" si="97"/>
        <v>0.42272432825534167</v>
      </c>
      <c r="AF156" s="32"/>
    </row>
    <row r="157" spans="29:32" x14ac:dyDescent="0.3">
      <c r="AC157" s="30">
        <v>75.000000000000696</v>
      </c>
      <c r="AD157" s="31">
        <f t="shared" si="97"/>
        <v>0.42158973797941307</v>
      </c>
      <c r="AF157" s="32"/>
    </row>
    <row r="158" spans="29:32" x14ac:dyDescent="0.3">
      <c r="AC158" s="30">
        <v>76.000000000000696</v>
      </c>
      <c r="AD158" s="31">
        <f t="shared" si="97"/>
        <v>0.42047314415836978</v>
      </c>
      <c r="AF158" s="32"/>
    </row>
    <row r="159" spans="29:32" x14ac:dyDescent="0.3">
      <c r="AC159" s="30">
        <v>77.000000000000696</v>
      </c>
      <c r="AD159" s="31">
        <f t="shared" si="97"/>
        <v>0.41937402993870843</v>
      </c>
      <c r="AF159" s="32"/>
    </row>
    <row r="160" spans="29:32" x14ac:dyDescent="0.3">
      <c r="AC160" s="30">
        <v>78.000000000000696</v>
      </c>
      <c r="AD160" s="31">
        <f t="shared" si="97"/>
        <v>0.4182918997809435</v>
      </c>
      <c r="AF160" s="32"/>
    </row>
    <row r="161" spans="29:32" x14ac:dyDescent="0.3">
      <c r="AC161" s="30">
        <v>79.000000000000696</v>
      </c>
      <c r="AD161" s="31">
        <f t="shared" si="97"/>
        <v>0.41722627832063985</v>
      </c>
      <c r="AF161" s="32"/>
    </row>
    <row r="162" spans="29:32" x14ac:dyDescent="0.3">
      <c r="AC162" s="30">
        <v>80.000000000000696</v>
      </c>
      <c r="AD162" s="31">
        <f t="shared" si="97"/>
        <v>0.4161767093038547</v>
      </c>
      <c r="AF162" s="32"/>
    </row>
    <row r="163" spans="29:32" x14ac:dyDescent="0.3">
      <c r="AC163" s="30">
        <v>81.000000000000796</v>
      </c>
      <c r="AD163" s="31">
        <f t="shared" si="97"/>
        <v>0.41514275459126415</v>
      </c>
      <c r="AF163" s="32"/>
    </row>
    <row r="164" spans="29:32" x14ac:dyDescent="0.3">
      <c r="AC164" s="30">
        <v>82.000000000000796</v>
      </c>
      <c r="AD164" s="31">
        <f t="shared" si="97"/>
        <v>0.41412399322575633</v>
      </c>
      <c r="AF164" s="32"/>
    </row>
    <row r="165" spans="29:32" x14ac:dyDescent="0.3">
      <c r="AC165" s="30">
        <v>83.000000000000796</v>
      </c>
      <c r="AD165" s="31">
        <f t="shared" si="97"/>
        <v>0.41312002055872638</v>
      </c>
      <c r="AF165" s="32"/>
    </row>
    <row r="166" spans="29:32" x14ac:dyDescent="0.3">
      <c r="AC166" s="30">
        <v>84.000000000000796</v>
      </c>
      <c r="AD166" s="31">
        <f t="shared" si="97"/>
        <v>0.41213044743071892</v>
      </c>
      <c r="AF166" s="32"/>
    </row>
    <row r="167" spans="29:32" x14ac:dyDescent="0.3">
      <c r="AC167" s="30">
        <v>85.000000000000796</v>
      </c>
      <c r="AD167" s="31">
        <f t="shared" si="97"/>
        <v>0.4111548994024371</v>
      </c>
      <c r="AF167" s="32"/>
    </row>
    <row r="168" spans="29:32" x14ac:dyDescent="0.3">
      <c r="AC168" s="30">
        <v>86.000000000000796</v>
      </c>
      <c r="AD168" s="31">
        <f t="shared" si="97"/>
        <v>0.41019301603246588</v>
      </c>
      <c r="AF168" s="32"/>
    </row>
    <row r="169" spans="29:32" x14ac:dyDescent="0.3">
      <c r="AC169" s="30">
        <v>87.000000000000796</v>
      </c>
      <c r="AD169" s="31">
        <f t="shared" si="97"/>
        <v>0.40924445019836991</v>
      </c>
      <c r="AF169" s="32"/>
    </row>
    <row r="170" spans="29:32" x14ac:dyDescent="0.3">
      <c r="AC170" s="30">
        <v>88.000000000000796</v>
      </c>
      <c r="AD170" s="31">
        <f t="shared" si="97"/>
        <v>0.40830886745809175</v>
      </c>
      <c r="AF170" s="32"/>
    </row>
    <row r="171" spans="29:32" x14ac:dyDescent="0.3">
      <c r="AC171" s="30">
        <v>89.000000000000796</v>
      </c>
      <c r="AD171" s="31">
        <f t="shared" si="97"/>
        <v>0.40738594544883255</v>
      </c>
      <c r="AF171" s="32"/>
    </row>
    <row r="172" spans="29:32" x14ac:dyDescent="0.3">
      <c r="AC172" s="30">
        <v>90.000000000000895</v>
      </c>
      <c r="AD172" s="31">
        <f t="shared" si="97"/>
        <v>0.40647537332081995</v>
      </c>
      <c r="AF172" s="32"/>
    </row>
    <row r="173" spans="29:32" x14ac:dyDescent="0.3">
      <c r="AC173" s="30">
        <v>91.000000000000895</v>
      </c>
      <c r="AD173" s="31">
        <f t="shared" si="97"/>
        <v>0.40557685120357712</v>
      </c>
      <c r="AF173" s="32"/>
    </row>
    <row r="174" spans="29:32" x14ac:dyDescent="0.3">
      <c r="AC174" s="30">
        <v>92.000000000000895</v>
      </c>
      <c r="AD174" s="31">
        <f t="shared" si="97"/>
        <v>0.40469008970249198</v>
      </c>
      <c r="AF174" s="32"/>
    </row>
    <row r="175" spans="29:32" x14ac:dyDescent="0.3">
      <c r="AC175" s="30">
        <v>93.000000000000895</v>
      </c>
      <c r="AD175" s="31">
        <f t="shared" si="97"/>
        <v>0.40381480942365744</v>
      </c>
      <c r="AF175" s="32"/>
    </row>
    <row r="176" spans="29:32" x14ac:dyDescent="0.3">
      <c r="AC176" s="30">
        <v>94.000000000000895</v>
      </c>
      <c r="AD176" s="31">
        <f t="shared" si="97"/>
        <v>0.40295074052511104</v>
      </c>
      <c r="AF176" s="32"/>
    </row>
    <row r="177" spans="29:32" x14ac:dyDescent="0.3">
      <c r="AC177" s="30">
        <v>95.000000000000895</v>
      </c>
      <c r="AD177" s="31">
        <f t="shared" si="97"/>
        <v>0.40209762229274287</v>
      </c>
      <c r="AF177" s="32"/>
    </row>
    <row r="178" spans="29:32" x14ac:dyDescent="0.3">
      <c r="AC178" s="30">
        <v>96.000000000000895</v>
      </c>
      <c r="AD178" s="31">
        <f t="shared" si="97"/>
        <v>0.40125520273927223</v>
      </c>
      <c r="AF178" s="32"/>
    </row>
    <row r="179" spans="29:32" x14ac:dyDescent="0.3">
      <c r="AC179" s="30">
        <v>97.000000000000895</v>
      </c>
      <c r="AD179" s="31">
        <f t="shared" si="97"/>
        <v>0.40042323822481191</v>
      </c>
      <c r="AF179" s="32"/>
    </row>
    <row r="180" spans="29:32" x14ac:dyDescent="0.3">
      <c r="AC180" s="30">
        <v>98.000000000000895</v>
      </c>
      <c r="AD180" s="31">
        <f t="shared" si="97"/>
        <v>0.39960149309764903</v>
      </c>
      <c r="AF180" s="32"/>
    </row>
    <row r="181" spans="29:32" x14ac:dyDescent="0.3">
      <c r="AC181" s="30">
        <v>99.000000000000995</v>
      </c>
      <c r="AD181" s="31">
        <f t="shared" si="97"/>
        <v>0.39878973935397188</v>
      </c>
      <c r="AF181" s="32"/>
    </row>
    <row r="182" spans="29:32" x14ac:dyDescent="0.3">
      <c r="AC182" s="30">
        <v>100.00000000000099</v>
      </c>
      <c r="AD182" s="31">
        <f t="shared" si="97"/>
        <v>0.39798775631536171</v>
      </c>
      <c r="AF182" s="32"/>
    </row>
    <row r="183" spans="29:32" x14ac:dyDescent="0.3">
      <c r="AC183" s="30">
        <v>110</v>
      </c>
      <c r="AD183" s="31">
        <f t="shared" si="97"/>
        <v>0.39046143477484679</v>
      </c>
      <c r="AF183" s="32"/>
    </row>
    <row r="184" spans="29:32" x14ac:dyDescent="0.3">
      <c r="AC184" s="30">
        <v>120</v>
      </c>
      <c r="AD184" s="31">
        <f t="shared" si="97"/>
        <v>0.38371378780612964</v>
      </c>
      <c r="AF184" s="32"/>
    </row>
    <row r="185" spans="29:32" x14ac:dyDescent="0.3">
      <c r="AC185" s="30">
        <v>129.99999999999801</v>
      </c>
      <c r="AD185" s="31">
        <f t="shared" si="97"/>
        <v>0.37760866776387259</v>
      </c>
      <c r="AF185" s="32"/>
    </row>
    <row r="186" spans="29:32" x14ac:dyDescent="0.3">
      <c r="AC186" s="30">
        <v>139.99999999999699</v>
      </c>
      <c r="AD186" s="31">
        <f t="shared" si="97"/>
        <v>0.37204201612222365</v>
      </c>
      <c r="AF186" s="32"/>
    </row>
    <row r="187" spans="29:32" x14ac:dyDescent="0.3">
      <c r="AC187" s="30">
        <v>149.99999999999599</v>
      </c>
      <c r="AD187" s="31">
        <f t="shared" si="97"/>
        <v>0.36693261475084871</v>
      </c>
      <c r="AF187" s="32"/>
    </row>
    <row r="188" spans="29:32" x14ac:dyDescent="0.3">
      <c r="AC188" s="30">
        <v>159.999999999995</v>
      </c>
      <c r="AD188" s="31">
        <f t="shared" si="97"/>
        <v>0.36221592646019735</v>
      </c>
      <c r="AF188" s="32"/>
    </row>
    <row r="189" spans="29:32" x14ac:dyDescent="0.3">
      <c r="AC189" s="30">
        <v>169.999999999994</v>
      </c>
      <c r="AD189" s="31">
        <f t="shared" si="97"/>
        <v>0.35783986847503735</v>
      </c>
      <c r="AF189" s="32"/>
    </row>
    <row r="190" spans="29:32" x14ac:dyDescent="0.3">
      <c r="AC190" s="30">
        <v>179.99999999999301</v>
      </c>
      <c r="AD190" s="31">
        <f t="shared" si="97"/>
        <v>0.35376183661877891</v>
      </c>
      <c r="AF190" s="32"/>
    </row>
    <row r="191" spans="29:32" x14ac:dyDescent="0.3">
      <c r="AC191" s="30">
        <v>189.99999999999201</v>
      </c>
      <c r="AD191" s="31">
        <f t="shared" si="97"/>
        <v>0.34994656260308621</v>
      </c>
      <c r="AF191" s="32"/>
    </row>
    <row r="192" spans="29:32" x14ac:dyDescent="0.3">
      <c r="AC192" s="30">
        <v>199.99999999999099</v>
      </c>
      <c r="AD192" s="31">
        <f t="shared" si="97"/>
        <v>0.34636454049519089</v>
      </c>
      <c r="AF192" s="32"/>
    </row>
    <row r="193" spans="29:32" x14ac:dyDescent="0.3">
      <c r="AC193" s="30">
        <v>209.99999999999</v>
      </c>
      <c r="AD193" s="31">
        <f t="shared" si="97"/>
        <v>0.34299085082776498</v>
      </c>
      <c r="AF193" s="32"/>
    </row>
    <row r="194" spans="29:32" x14ac:dyDescent="0.3">
      <c r="AC194" s="30">
        <v>219.999999999989</v>
      </c>
      <c r="AD194" s="31">
        <f t="shared" si="97"/>
        <v>0.33980426807581632</v>
      </c>
      <c r="AF194" s="32"/>
    </row>
    <row r="195" spans="29:32" x14ac:dyDescent="0.3">
      <c r="AC195" s="30">
        <v>229.99999999998801</v>
      </c>
      <c r="AD195" s="31">
        <f t="shared" ref="AD195:AD258" si="98">(((EXP(-0.000003*AC195))*(((AC195^0.2)+1)/(AC195^0.2) - 1)))^(1)</f>
        <v>0.33678657367814357</v>
      </c>
      <c r="AF195" s="32"/>
    </row>
    <row r="196" spans="29:32" x14ac:dyDescent="0.3">
      <c r="AC196" s="30">
        <v>239.99999999998701</v>
      </c>
      <c r="AD196" s="31">
        <f t="shared" si="98"/>
        <v>0.33392202055097731</v>
      </c>
      <c r="AF196" s="32"/>
    </row>
    <row r="197" spans="29:32" x14ac:dyDescent="0.3">
      <c r="AC197" s="30">
        <v>249.99999999998599</v>
      </c>
      <c r="AD197" s="31">
        <f t="shared" si="98"/>
        <v>0.33119691087842085</v>
      </c>
      <c r="AF197" s="32"/>
    </row>
    <row r="198" spans="29:32" x14ac:dyDescent="0.3">
      <c r="AC198" s="30">
        <v>259.99999999998499</v>
      </c>
      <c r="AD198" s="31">
        <f t="shared" si="98"/>
        <v>0.32859925972282661</v>
      </c>
      <c r="AF198" s="32"/>
    </row>
    <row r="199" spans="29:32" x14ac:dyDescent="0.3">
      <c r="AC199" s="30">
        <v>269.99999999998403</v>
      </c>
      <c r="AD199" s="31">
        <f t="shared" si="98"/>
        <v>0.32611852443679584</v>
      </c>
      <c r="AF199" s="32"/>
    </row>
    <row r="200" spans="29:32" x14ac:dyDescent="0.3">
      <c r="AC200" s="30">
        <v>279.999999999983</v>
      </c>
      <c r="AD200" s="31">
        <f t="shared" si="98"/>
        <v>0.32374538508495321</v>
      </c>
      <c r="AF200" s="32"/>
    </row>
    <row r="201" spans="29:32" x14ac:dyDescent="0.3">
      <c r="AC201" s="30">
        <v>289.99999999998198</v>
      </c>
      <c r="AD201" s="31">
        <f t="shared" si="98"/>
        <v>0.32147156481029598</v>
      </c>
      <c r="AF201" s="32"/>
    </row>
    <row r="202" spans="29:32" x14ac:dyDescent="0.3">
      <c r="AC202" s="30">
        <v>299.99999999998101</v>
      </c>
      <c r="AD202" s="31">
        <f t="shared" si="98"/>
        <v>0.31928968177334532</v>
      </c>
      <c r="AF202" s="32"/>
    </row>
    <row r="203" spans="29:32" x14ac:dyDescent="0.3">
      <c r="AC203" s="30">
        <v>309.99999999997999</v>
      </c>
      <c r="AD203" s="31">
        <f t="shared" si="98"/>
        <v>0.31719312626344437</v>
      </c>
      <c r="AF203" s="32"/>
    </row>
    <row r="204" spans="29:32" x14ac:dyDescent="0.3">
      <c r="AC204" s="30">
        <v>319.99999999997902</v>
      </c>
      <c r="AD204" s="31">
        <f t="shared" si="98"/>
        <v>0.31517595804081427</v>
      </c>
      <c r="AF204" s="32"/>
    </row>
    <row r="205" spans="29:32" x14ac:dyDescent="0.3">
      <c r="AC205" s="30">
        <v>329.999999999978</v>
      </c>
      <c r="AD205" s="31">
        <f t="shared" si="98"/>
        <v>0.31323282005994602</v>
      </c>
      <c r="AF205" s="32"/>
    </row>
    <row r="206" spans="29:32" x14ac:dyDescent="0.3">
      <c r="AC206" s="30">
        <v>339.99999999997698</v>
      </c>
      <c r="AD206" s="31">
        <f t="shared" si="98"/>
        <v>0.31135886555022091</v>
      </c>
      <c r="AF206" s="32"/>
    </row>
    <row r="207" spans="29:32" x14ac:dyDescent="0.3">
      <c r="AC207" s="30">
        <v>349.99999999997601</v>
      </c>
      <c r="AD207" s="31">
        <f t="shared" si="98"/>
        <v>0.30954969605926264</v>
      </c>
      <c r="AF207" s="32"/>
    </row>
    <row r="208" spans="29:32" x14ac:dyDescent="0.3">
      <c r="AC208" s="30">
        <v>359.99999999997499</v>
      </c>
      <c r="AD208" s="31">
        <f t="shared" si="98"/>
        <v>0.3078013085490251</v>
      </c>
      <c r="AF208" s="32"/>
    </row>
    <row r="209" spans="29:32" x14ac:dyDescent="0.3">
      <c r="AC209" s="30">
        <v>369.99999999997402</v>
      </c>
      <c r="AD209" s="31">
        <f t="shared" si="98"/>
        <v>0.3061100500105276</v>
      </c>
      <c r="AF209" s="32"/>
    </row>
    <row r="210" spans="29:32" x14ac:dyDescent="0.3">
      <c r="AC210" s="30">
        <v>379.999999999973</v>
      </c>
      <c r="AD210" s="31">
        <f t="shared" si="98"/>
        <v>0.30447257835702785</v>
      </c>
      <c r="AF210" s="32"/>
    </row>
    <row r="211" spans="29:32" x14ac:dyDescent="0.3">
      <c r="AC211" s="30">
        <v>389.99999999997198</v>
      </c>
      <c r="AD211" s="31">
        <f t="shared" si="98"/>
        <v>0.30288582858684737</v>
      </c>
      <c r="AF211" s="32"/>
    </row>
    <row r="212" spans="29:32" x14ac:dyDescent="0.3">
      <c r="AC212" s="30">
        <v>399.99999999997101</v>
      </c>
      <c r="AD212" s="31">
        <f t="shared" si="98"/>
        <v>0.30134698339055194</v>
      </c>
      <c r="AF212" s="32"/>
    </row>
    <row r="213" spans="29:32" x14ac:dyDescent="0.3">
      <c r="AC213" s="30">
        <v>409.99999999996999</v>
      </c>
      <c r="AD213" s="31">
        <f t="shared" si="98"/>
        <v>0.29985344752359328</v>
      </c>
      <c r="AF213" s="32"/>
    </row>
    <row r="214" spans="29:32" x14ac:dyDescent="0.3">
      <c r="AC214" s="30">
        <v>419.99999999996902</v>
      </c>
      <c r="AD214" s="31">
        <f t="shared" si="98"/>
        <v>0.29840282538305962</v>
      </c>
      <c r="AF214" s="32"/>
    </row>
    <row r="215" spans="29:32" x14ac:dyDescent="0.3">
      <c r="AC215" s="30">
        <v>429.999999999968</v>
      </c>
      <c r="AD215" s="31">
        <f t="shared" si="98"/>
        <v>0.29699290132208844</v>
      </c>
      <c r="AF215" s="32"/>
    </row>
    <row r="216" spans="29:32" x14ac:dyDescent="0.3">
      <c r="AC216" s="30">
        <v>439.99999999996697</v>
      </c>
      <c r="AD216" s="31">
        <f t="shared" si="98"/>
        <v>0.29562162231254768</v>
      </c>
      <c r="AF216" s="32"/>
    </row>
    <row r="217" spans="29:32" x14ac:dyDescent="0.3">
      <c r="AC217" s="30">
        <v>449.99999999996601</v>
      </c>
      <c r="AD217" s="31">
        <f t="shared" si="98"/>
        <v>0.29428708262946551</v>
      </c>
      <c r="AF217" s="32"/>
    </row>
    <row r="218" spans="29:32" x14ac:dyDescent="0.3">
      <c r="AC218" s="30">
        <v>459.99999999996498</v>
      </c>
      <c r="AD218" s="31">
        <f t="shared" si="98"/>
        <v>0.29298751028226511</v>
      </c>
      <c r="AF218" s="32"/>
    </row>
    <row r="219" spans="29:32" x14ac:dyDescent="0.3">
      <c r="AC219" s="30">
        <v>469.99999999996402</v>
      </c>
      <c r="AD219" s="31">
        <f t="shared" si="98"/>
        <v>0.29172125496034768</v>
      </c>
      <c r="AF219" s="32"/>
    </row>
    <row r="220" spans="29:32" x14ac:dyDescent="0.3">
      <c r="AC220" s="30">
        <v>479.99999999996299</v>
      </c>
      <c r="AD220" s="31">
        <f t="shared" si="98"/>
        <v>0.29048677729573513</v>
      </c>
      <c r="AF220" s="32"/>
    </row>
    <row r="221" spans="29:32" x14ac:dyDescent="0.3">
      <c r="AC221" s="30">
        <v>489.99999999996197</v>
      </c>
      <c r="AD221" s="31">
        <f t="shared" si="98"/>
        <v>0.28928263927472631</v>
      </c>
      <c r="AF221" s="32"/>
    </row>
    <row r="222" spans="29:32" x14ac:dyDescent="0.3">
      <c r="AC222" s="30">
        <v>499.99999999996101</v>
      </c>
      <c r="AD222" s="31">
        <f t="shared" si="98"/>
        <v>0.28810749565491112</v>
      </c>
      <c r="AF222" s="32"/>
    </row>
    <row r="223" spans="29:32" x14ac:dyDescent="0.3">
      <c r="AC223" s="30">
        <v>509.99999999995998</v>
      </c>
      <c r="AD223" s="31">
        <f t="shared" si="98"/>
        <v>0.28696008626433595</v>
      </c>
      <c r="AF223" s="32"/>
    </row>
    <row r="224" spans="29:32" x14ac:dyDescent="0.3">
      <c r="AC224" s="30">
        <v>519.99999999995896</v>
      </c>
      <c r="AD224" s="31">
        <f t="shared" si="98"/>
        <v>0.2858392290768117</v>
      </c>
      <c r="AF224" s="32"/>
    </row>
    <row r="225" spans="29:32" x14ac:dyDescent="0.3">
      <c r="AC225" s="30">
        <v>529.99999999995805</v>
      </c>
      <c r="AD225" s="31">
        <f t="shared" si="98"/>
        <v>0.28474381397186221</v>
      </c>
      <c r="AF225" s="32"/>
    </row>
    <row r="226" spans="29:32" x14ac:dyDescent="0.3">
      <c r="AC226" s="30">
        <v>539.99999999995703</v>
      </c>
      <c r="AD226" s="31">
        <f t="shared" si="98"/>
        <v>0.28367279710011156</v>
      </c>
      <c r="AF226" s="32"/>
    </row>
    <row r="227" spans="29:32" x14ac:dyDescent="0.3">
      <c r="AC227" s="30">
        <v>549.999999999956</v>
      </c>
      <c r="AD227" s="31">
        <f t="shared" si="98"/>
        <v>0.28262519578534756</v>
      </c>
      <c r="AF227" s="32"/>
    </row>
    <row r="228" spans="29:32" x14ac:dyDescent="0.3">
      <c r="AC228" s="30">
        <v>559.99999999995498</v>
      </c>
      <c r="AD228" s="31">
        <f t="shared" si="98"/>
        <v>0.28160008390341584</v>
      </c>
      <c r="AF228" s="32"/>
    </row>
    <row r="229" spans="29:32" x14ac:dyDescent="0.3">
      <c r="AC229" s="30">
        <v>569.99999999995396</v>
      </c>
      <c r="AD229" s="31">
        <f t="shared" si="98"/>
        <v>0.28059658768569795</v>
      </c>
      <c r="AF229" s="32"/>
    </row>
    <row r="230" spans="29:32" x14ac:dyDescent="0.3">
      <c r="AC230" s="30">
        <v>579.99999999995305</v>
      </c>
      <c r="AD230" s="31">
        <f t="shared" si="98"/>
        <v>0.27961388190146852</v>
      </c>
      <c r="AF230" s="32"/>
    </row>
    <row r="231" spans="29:32" x14ac:dyDescent="0.3">
      <c r="AC231" s="30">
        <v>589.99999999995202</v>
      </c>
      <c r="AD231" s="31">
        <f t="shared" si="98"/>
        <v>0.27865118637904696</v>
      </c>
      <c r="AF231" s="32"/>
    </row>
    <row r="232" spans="29:32" x14ac:dyDescent="0.3">
      <c r="AC232" s="30">
        <v>599.999999999951</v>
      </c>
      <c r="AD232" s="31">
        <f t="shared" si="98"/>
        <v>0.27770776283048654</v>
      </c>
      <c r="AF232" s="32"/>
    </row>
    <row r="233" spans="29:32" x14ac:dyDescent="0.3">
      <c r="AC233" s="30">
        <v>609.99999999994998</v>
      </c>
      <c r="AD233" s="31">
        <f t="shared" si="98"/>
        <v>0.27678291194875165</v>
      </c>
      <c r="AF233" s="32"/>
    </row>
    <row r="234" spans="29:32" x14ac:dyDescent="0.3">
      <c r="AC234" s="30">
        <v>619.99999999994895</v>
      </c>
      <c r="AD234" s="31">
        <f t="shared" si="98"/>
        <v>0.27587597074994774</v>
      </c>
      <c r="AF234" s="32"/>
    </row>
    <row r="235" spans="29:32" x14ac:dyDescent="0.3">
      <c r="AC235" s="30">
        <v>629.99999999994805</v>
      </c>
      <c r="AD235" s="31">
        <f t="shared" si="98"/>
        <v>0.2749863101363394</v>
      </c>
      <c r="AF235" s="32"/>
    </row>
    <row r="236" spans="29:32" x14ac:dyDescent="0.3">
      <c r="AC236" s="30">
        <v>639.99999999994702</v>
      </c>
      <c r="AD236" s="31">
        <f t="shared" si="98"/>
        <v>0.27411333265862226</v>
      </c>
      <c r="AF236" s="32"/>
    </row>
    <row r="237" spans="29:32" x14ac:dyDescent="0.3">
      <c r="AC237" s="30">
        <v>649.999999999946</v>
      </c>
      <c r="AD237" s="31">
        <f t="shared" si="98"/>
        <v>0.2732564704583309</v>
      </c>
      <c r="AF237" s="32"/>
    </row>
    <row r="238" spans="29:32" x14ac:dyDescent="0.3">
      <c r="AC238" s="30">
        <v>659.99999999994498</v>
      </c>
      <c r="AD238" s="31">
        <f t="shared" si="98"/>
        <v>0.27241518337335519</v>
      </c>
      <c r="AF238" s="32"/>
    </row>
    <row r="239" spans="29:32" x14ac:dyDescent="0.3">
      <c r="AC239" s="30">
        <v>669.99999999994395</v>
      </c>
      <c r="AD239" s="31">
        <f t="shared" si="98"/>
        <v>0.27158895719137521</v>
      </c>
      <c r="AF239" s="32"/>
    </row>
    <row r="240" spans="29:32" x14ac:dyDescent="0.3">
      <c r="AC240" s="30">
        <v>679.99999999994304</v>
      </c>
      <c r="AD240" s="31">
        <f t="shared" si="98"/>
        <v>0.27077730203765321</v>
      </c>
      <c r="AF240" s="32"/>
    </row>
    <row r="241" spans="29:32" x14ac:dyDescent="0.3">
      <c r="AC241" s="30">
        <v>689.99999999994202</v>
      </c>
      <c r="AD241" s="31">
        <f t="shared" si="98"/>
        <v>0.26997975088503628</v>
      </c>
      <c r="AF241" s="32"/>
    </row>
    <row r="242" spans="29:32" x14ac:dyDescent="0.3">
      <c r="AC242" s="30">
        <v>699.999999999941</v>
      </c>
      <c r="AD242" s="31">
        <f t="shared" si="98"/>
        <v>0.26919585817528374</v>
      </c>
      <c r="AF242" s="32"/>
    </row>
    <row r="243" spans="29:32" x14ac:dyDescent="0.3">
      <c r="AC243" s="30">
        <v>709.99999999993997</v>
      </c>
      <c r="AD243" s="31">
        <f t="shared" si="98"/>
        <v>0.26842519854193531</v>
      </c>
      <c r="AF243" s="32"/>
    </row>
    <row r="244" spans="29:32" x14ac:dyDescent="0.3">
      <c r="AC244" s="30">
        <v>719.99999999993895</v>
      </c>
      <c r="AD244" s="31">
        <f t="shared" si="98"/>
        <v>0.2676673656259424</v>
      </c>
      <c r="AF244" s="32"/>
    </row>
    <row r="245" spans="29:32" x14ac:dyDescent="0.3">
      <c r="AC245" s="30">
        <v>729.99999999993804</v>
      </c>
      <c r="AD245" s="31">
        <f t="shared" si="98"/>
        <v>0.26692197097612319</v>
      </c>
      <c r="AF245" s="32"/>
    </row>
    <row r="246" spans="29:32" x14ac:dyDescent="0.3">
      <c r="AC246" s="30">
        <v>739.99999999993702</v>
      </c>
      <c r="AD246" s="31">
        <f t="shared" si="98"/>
        <v>0.26618864302730527</v>
      </c>
      <c r="AF246" s="32"/>
    </row>
    <row r="247" spans="29:32" x14ac:dyDescent="0.3">
      <c r="AC247" s="30">
        <v>749.99999999993599</v>
      </c>
      <c r="AD247" s="31">
        <f t="shared" si="98"/>
        <v>0.26546702614969875</v>
      </c>
      <c r="AF247" s="32"/>
    </row>
    <row r="248" spans="29:32" x14ac:dyDescent="0.3">
      <c r="AC248" s="30">
        <v>759.99999999993497</v>
      </c>
      <c r="AD248" s="31">
        <f t="shared" si="98"/>
        <v>0.26475677976365541</v>
      </c>
      <c r="AF248" s="32"/>
    </row>
    <row r="249" spans="29:32" x14ac:dyDescent="0.3">
      <c r="AC249" s="30">
        <v>769.99999999993395</v>
      </c>
      <c r="AD249" s="31">
        <f t="shared" si="98"/>
        <v>0.26405757751451958</v>
      </c>
      <c r="AF249" s="32"/>
    </row>
    <row r="250" spans="29:32" x14ac:dyDescent="0.3">
      <c r="AC250" s="30">
        <v>779.99999999993304</v>
      </c>
      <c r="AD250" s="31">
        <f t="shared" si="98"/>
        <v>0.26336910650277762</v>
      </c>
      <c r="AF250" s="32"/>
    </row>
    <row r="251" spans="29:32" x14ac:dyDescent="0.3">
      <c r="AC251" s="30">
        <v>789.99999999993202</v>
      </c>
      <c r="AD251" s="31">
        <f t="shared" si="98"/>
        <v>0.26269106656513153</v>
      </c>
      <c r="AF251" s="32"/>
    </row>
    <row r="252" spans="29:32" x14ac:dyDescent="0.3">
      <c r="AC252" s="30">
        <v>799.99999999993099</v>
      </c>
      <c r="AD252" s="31">
        <f t="shared" si="98"/>
        <v>0.26202316960254285</v>
      </c>
      <c r="AF252" s="32"/>
    </row>
    <row r="253" spans="29:32" x14ac:dyDescent="0.3">
      <c r="AC253" s="30">
        <v>809.99999999992997</v>
      </c>
      <c r="AD253" s="31">
        <f t="shared" si="98"/>
        <v>0.26136513895162461</v>
      </c>
      <c r="AF253" s="32"/>
    </row>
    <row r="254" spans="29:32" x14ac:dyDescent="0.3">
      <c r="AC254" s="30">
        <v>819.99999999992895</v>
      </c>
      <c r="AD254" s="31">
        <f t="shared" si="98"/>
        <v>0.26071670879609155</v>
      </c>
      <c r="AF254" s="32"/>
    </row>
    <row r="255" spans="29:32" x14ac:dyDescent="0.3">
      <c r="AC255" s="30">
        <v>829.99999999992804</v>
      </c>
      <c r="AD255" s="31">
        <f t="shared" si="98"/>
        <v>0.2600776236152606</v>
      </c>
      <c r="AF255" s="32"/>
    </row>
    <row r="256" spans="29:32" x14ac:dyDescent="0.3">
      <c r="AC256" s="30">
        <v>839.99999999992701</v>
      </c>
      <c r="AD256" s="31">
        <f t="shared" si="98"/>
        <v>0.25944763766685702</v>
      </c>
      <c r="AF256" s="32"/>
    </row>
    <row r="257" spans="29:32" x14ac:dyDescent="0.3">
      <c r="AC257" s="30">
        <v>849.99999999992599</v>
      </c>
      <c r="AD257" s="31">
        <f t="shared" si="98"/>
        <v>0.25882651450160454</v>
      </c>
      <c r="AF257" s="32"/>
    </row>
    <row r="258" spans="29:32" x14ac:dyDescent="0.3">
      <c r="AC258" s="30">
        <v>859.99999999992497</v>
      </c>
      <c r="AD258" s="31">
        <f t="shared" si="98"/>
        <v>0.25821402650730596</v>
      </c>
      <c r="AF258" s="32"/>
    </row>
    <row r="259" spans="29:32" x14ac:dyDescent="0.3">
      <c r="AC259" s="30">
        <v>869.99999999992394</v>
      </c>
      <c r="AD259" s="31">
        <f t="shared" ref="AD259:AD322" si="99">(((EXP(-0.000003*AC259))*(((AC259^0.2)+1)/(AC259^0.2) - 1)))^(1)</f>
        <v>0.257609954480298</v>
      </c>
      <c r="AF259" s="32"/>
    </row>
    <row r="260" spans="29:32" x14ac:dyDescent="0.3">
      <c r="AC260" s="30">
        <v>879.99999999992303</v>
      </c>
      <c r="AD260" s="31">
        <f t="shared" si="99"/>
        <v>0.25701408722234348</v>
      </c>
      <c r="AF260" s="32"/>
    </row>
    <row r="261" spans="29:32" x14ac:dyDescent="0.3">
      <c r="AC261" s="30">
        <v>889.99999999992201</v>
      </c>
      <c r="AD261" s="31">
        <f t="shared" si="99"/>
        <v>0.25642622116118252</v>
      </c>
      <c r="AF261" s="32"/>
    </row>
    <row r="262" spans="29:32" x14ac:dyDescent="0.3">
      <c r="AC262" s="30">
        <v>899.99999999992099</v>
      </c>
      <c r="AD262" s="31">
        <f t="shared" si="99"/>
        <v>0.25584615999310223</v>
      </c>
      <c r="AF262" s="32"/>
    </row>
    <row r="263" spans="29:32" x14ac:dyDescent="0.3">
      <c r="AC263" s="30">
        <v>909.99999999991996</v>
      </c>
      <c r="AD263" s="31">
        <f t="shared" si="99"/>
        <v>0.25527371434602342</v>
      </c>
      <c r="AF263" s="32"/>
    </row>
    <row r="264" spans="29:32" x14ac:dyDescent="0.3">
      <c r="AC264" s="30">
        <v>919.99999999991905</v>
      </c>
      <c r="AD264" s="31">
        <f t="shared" si="99"/>
        <v>0.25470870146170893</v>
      </c>
      <c r="AF264" s="32"/>
    </row>
    <row r="265" spans="29:32" x14ac:dyDescent="0.3">
      <c r="AC265" s="30">
        <v>929.99999999991803</v>
      </c>
      <c r="AD265" s="31">
        <f t="shared" si="99"/>
        <v>0.25415094489582057</v>
      </c>
      <c r="AF265" s="32"/>
    </row>
    <row r="266" spans="29:32" x14ac:dyDescent="0.3">
      <c r="AC266" s="30">
        <v>939.99999999991701</v>
      </c>
      <c r="AD266" s="31">
        <f t="shared" si="99"/>
        <v>0.25360027423463533</v>
      </c>
      <c r="AF266" s="32"/>
    </row>
    <row r="267" spans="29:32" x14ac:dyDescent="0.3">
      <c r="AC267" s="30">
        <v>949.99999999991599</v>
      </c>
      <c r="AD267" s="31">
        <f t="shared" si="99"/>
        <v>0.2530565248273362</v>
      </c>
      <c r="AF267" s="32"/>
    </row>
    <row r="268" spans="29:32" x14ac:dyDescent="0.3">
      <c r="AC268" s="30">
        <v>959.99999999991599</v>
      </c>
      <c r="AD268" s="31">
        <f t="shared" si="99"/>
        <v>0.25251953753285938</v>
      </c>
      <c r="AF268" s="32"/>
    </row>
    <row r="269" spans="29:32" x14ac:dyDescent="0.3">
      <c r="AC269" s="30">
        <v>969.99999999991405</v>
      </c>
      <c r="AD269" s="31">
        <f t="shared" si="99"/>
        <v>0.25198915848037218</v>
      </c>
      <c r="AF269" s="32"/>
    </row>
    <row r="270" spans="29:32" x14ac:dyDescent="0.3">
      <c r="AC270" s="30">
        <v>979.99999999991303</v>
      </c>
      <c r="AD270" s="31">
        <f t="shared" si="99"/>
        <v>0.25146523884250749</v>
      </c>
      <c r="AF270" s="32"/>
    </row>
    <row r="271" spans="29:32" x14ac:dyDescent="0.3">
      <c r="AC271" s="30">
        <v>989.99999999991201</v>
      </c>
      <c r="AD271" s="31">
        <f t="shared" si="99"/>
        <v>0.25094763462056163</v>
      </c>
      <c r="AF271" s="32"/>
    </row>
    <row r="272" spans="29:32" x14ac:dyDescent="0.3">
      <c r="AC272" s="30">
        <v>999.99999999991098</v>
      </c>
      <c r="AD272" s="31">
        <f t="shared" si="99"/>
        <v>0.25043620644090214</v>
      </c>
      <c r="AF272" s="32"/>
    </row>
    <row r="273" spans="29:32" x14ac:dyDescent="0.3">
      <c r="AC273" s="30">
        <v>1100</v>
      </c>
      <c r="AD273" s="31">
        <f t="shared" si="99"/>
        <v>0.24563389291618015</v>
      </c>
      <c r="AF273" s="32"/>
    </row>
    <row r="274" spans="29:32" x14ac:dyDescent="0.3">
      <c r="AC274" s="30">
        <v>1200.00000000009</v>
      </c>
      <c r="AD274" s="31">
        <f t="shared" si="99"/>
        <v>0.2413238752090523</v>
      </c>
      <c r="AF274" s="32"/>
    </row>
    <row r="275" spans="29:32" x14ac:dyDescent="0.3">
      <c r="AC275" s="30">
        <v>1300.0000000001801</v>
      </c>
      <c r="AD275" s="31">
        <f t="shared" si="99"/>
        <v>0.23742015329426014</v>
      </c>
      <c r="AF275" s="32"/>
    </row>
    <row r="276" spans="29:32" x14ac:dyDescent="0.3">
      <c r="AC276" s="30">
        <v>1400.0000000002699</v>
      </c>
      <c r="AD276" s="31">
        <f t="shared" si="99"/>
        <v>0.23385699027607224</v>
      </c>
      <c r="AF276" s="32"/>
    </row>
    <row r="277" spans="29:32" x14ac:dyDescent="0.3">
      <c r="AC277" s="30">
        <v>1500.0000000003599</v>
      </c>
      <c r="AD277" s="31">
        <f t="shared" si="99"/>
        <v>0.23058307313519988</v>
      </c>
      <c r="AF277" s="32"/>
    </row>
    <row r="278" spans="29:32" x14ac:dyDescent="0.3">
      <c r="AC278" s="30">
        <v>1600.00000000044</v>
      </c>
      <c r="AD278" s="31">
        <f t="shared" si="99"/>
        <v>0.22755762370665297</v>
      </c>
      <c r="AF278" s="32"/>
    </row>
    <row r="279" spans="29:32" x14ac:dyDescent="0.3">
      <c r="AC279" s="30">
        <v>1700.00000000053</v>
      </c>
      <c r="AD279" s="31">
        <f t="shared" si="99"/>
        <v>0.22474772995139222</v>
      </c>
      <c r="AF279" s="32"/>
    </row>
    <row r="280" spans="29:32" x14ac:dyDescent="0.3">
      <c r="AC280" s="30">
        <v>1800.00000000062</v>
      </c>
      <c r="AD280" s="31">
        <f t="shared" si="99"/>
        <v>0.22212646685845827</v>
      </c>
      <c r="AF280" s="32"/>
    </row>
    <row r="281" spans="29:32" x14ac:dyDescent="0.3">
      <c r="AC281" s="30">
        <v>1900.0000000007101</v>
      </c>
      <c r="AD281" s="31">
        <f t="shared" si="99"/>
        <v>0.2196715433464452</v>
      </c>
      <c r="AF281" s="32"/>
    </row>
    <row r="282" spans="29:32" x14ac:dyDescent="0.3">
      <c r="AC282" s="30">
        <v>2000.0000000007999</v>
      </c>
      <c r="AD282" s="31">
        <f t="shared" si="99"/>
        <v>0.21736430854295913</v>
      </c>
      <c r="AF282" s="32"/>
    </row>
    <row r="283" spans="29:32" x14ac:dyDescent="0.3">
      <c r="AC283" s="30">
        <v>2100.0000000008899</v>
      </c>
      <c r="AD283" s="31">
        <f t="shared" si="99"/>
        <v>0.2151890091455716</v>
      </c>
      <c r="AF283" s="32"/>
    </row>
    <row r="284" spans="29:32" x14ac:dyDescent="0.3">
      <c r="AC284" s="30">
        <v>2200.00000000098</v>
      </c>
      <c r="AD284" s="31">
        <f t="shared" si="99"/>
        <v>0.21313222571534185</v>
      </c>
      <c r="AF284" s="32"/>
    </row>
    <row r="285" spans="29:32" x14ac:dyDescent="0.3">
      <c r="AC285" s="30">
        <v>2300.00000000107</v>
      </c>
      <c r="AD285" s="31">
        <f t="shared" si="99"/>
        <v>0.2111824387672287</v>
      </c>
      <c r="AF285" s="32"/>
    </row>
    <row r="286" spans="29:32" x14ac:dyDescent="0.3">
      <c r="AC286" s="30">
        <v>2400.0000000011601</v>
      </c>
      <c r="AD286" s="31">
        <f t="shared" si="99"/>
        <v>0.20932969052851538</v>
      </c>
      <c r="AF286" s="32"/>
    </row>
    <row r="287" spans="29:32" x14ac:dyDescent="0.3">
      <c r="AC287" s="30">
        <v>2500.0000000012501</v>
      </c>
      <c r="AD287" s="31">
        <f t="shared" si="99"/>
        <v>0.20756531823505261</v>
      </c>
      <c r="AF287" s="32"/>
    </row>
    <row r="288" spans="29:32" x14ac:dyDescent="0.3">
      <c r="AC288" s="30">
        <v>2600.0000000013301</v>
      </c>
      <c r="AD288" s="31">
        <f t="shared" si="99"/>
        <v>0.20588174162772482</v>
      </c>
      <c r="AF288" s="32"/>
    </row>
    <row r="289" spans="29:32" x14ac:dyDescent="0.3">
      <c r="AC289" s="30">
        <v>2700.0000000014202</v>
      </c>
      <c r="AD289" s="31">
        <f t="shared" si="99"/>
        <v>0.20427229200816618</v>
      </c>
      <c r="AF289" s="32"/>
    </row>
    <row r="290" spans="29:32" x14ac:dyDescent="0.3">
      <c r="AC290" s="30">
        <v>2800.0000000015102</v>
      </c>
      <c r="AD290" s="31">
        <f t="shared" si="99"/>
        <v>0.20273107351278002</v>
      </c>
      <c r="AF290" s="32"/>
    </row>
    <row r="291" spans="29:32" x14ac:dyDescent="0.3">
      <c r="AC291" s="30">
        <v>2900.0000000015998</v>
      </c>
      <c r="AD291" s="31">
        <f t="shared" si="99"/>
        <v>0.20125284961722217</v>
      </c>
      <c r="AF291" s="32"/>
    </row>
    <row r="292" spans="29:32" x14ac:dyDescent="0.3">
      <c r="AC292" s="30">
        <v>3000.0000000016898</v>
      </c>
      <c r="AD292" s="31">
        <f t="shared" si="99"/>
        <v>0.19983294958426187</v>
      </c>
      <c r="AF292" s="32"/>
    </row>
    <row r="293" spans="29:32" x14ac:dyDescent="0.3">
      <c r="AC293" s="30">
        <v>3100.0000000017799</v>
      </c>
      <c r="AD293" s="31">
        <f t="shared" si="99"/>
        <v>0.19846719081262634</v>
      </c>
      <c r="AF293" s="32"/>
    </row>
    <row r="294" spans="29:32" x14ac:dyDescent="0.3">
      <c r="AC294" s="30">
        <v>3200.0000000018699</v>
      </c>
      <c r="AD294" s="31">
        <f t="shared" si="99"/>
        <v>0.19715181396594078</v>
      </c>
      <c r="AF294" s="32"/>
    </row>
    <row r="295" spans="29:32" x14ac:dyDescent="0.3">
      <c r="AC295" s="30">
        <v>3300.00000000196</v>
      </c>
      <c r="AD295" s="31">
        <f t="shared" si="99"/>
        <v>0.19588342845045292</v>
      </c>
      <c r="AF295" s="32"/>
    </row>
    <row r="296" spans="29:32" x14ac:dyDescent="0.3">
      <c r="AC296" s="30">
        <v>3400.00000000205</v>
      </c>
      <c r="AD296" s="31">
        <f t="shared" si="99"/>
        <v>0.19465896633143948</v>
      </c>
      <c r="AF296" s="32"/>
    </row>
    <row r="297" spans="29:32" x14ac:dyDescent="0.3">
      <c r="AC297" s="30">
        <v>3500.00000000214</v>
      </c>
      <c r="AD297" s="31">
        <f t="shared" si="99"/>
        <v>0.19347564317581276</v>
      </c>
      <c r="AF297" s="32"/>
    </row>
    <row r="298" spans="29:32" x14ac:dyDescent="0.3">
      <c r="AC298" s="30">
        <v>3600.0000000022201</v>
      </c>
      <c r="AD298" s="31">
        <f t="shared" si="99"/>
        <v>0.19233092461444418</v>
      </c>
      <c r="AF298" s="32"/>
    </row>
    <row r="299" spans="29:32" x14ac:dyDescent="0.3">
      <c r="AC299" s="30">
        <v>3700.0000000023101</v>
      </c>
      <c r="AD299" s="31">
        <f t="shared" si="99"/>
        <v>0.1912224976551275</v>
      </c>
      <c r="AF299" s="32"/>
    </row>
    <row r="300" spans="29:32" x14ac:dyDescent="0.3">
      <c r="AC300" s="30">
        <v>3800.0000000024002</v>
      </c>
      <c r="AD300" s="31">
        <f t="shared" si="99"/>
        <v>0.19014824596272931</v>
      </c>
      <c r="AF300" s="32"/>
    </row>
    <row r="301" spans="29:32" x14ac:dyDescent="0.3">
      <c r="AC301" s="30">
        <v>3900.0000000024902</v>
      </c>
      <c r="AD301" s="31">
        <f t="shared" si="99"/>
        <v>0.18910622846923617</v>
      </c>
      <c r="AF301" s="32"/>
    </row>
    <row r="302" spans="29:32" x14ac:dyDescent="0.3">
      <c r="AC302" s="30">
        <v>4000.0000000025798</v>
      </c>
      <c r="AD302" s="31">
        <f t="shared" si="99"/>
        <v>0.1880946607923101</v>
      </c>
      <c r="AF302" s="32"/>
    </row>
    <row r="303" spans="29:32" x14ac:dyDescent="0.3">
      <c r="AC303" s="30">
        <v>4100.0000000026703</v>
      </c>
      <c r="AD303" s="31">
        <f t="shared" si="99"/>
        <v>0.18711189903344266</v>
      </c>
      <c r="AF303" s="32"/>
    </row>
    <row r="304" spans="29:32" x14ac:dyDescent="0.3">
      <c r="AC304" s="30">
        <v>4200.0000000027603</v>
      </c>
      <c r="AD304" s="31">
        <f t="shared" si="99"/>
        <v>0.18615642560103973</v>
      </c>
      <c r="AF304" s="32"/>
    </row>
    <row r="305" spans="29:32" x14ac:dyDescent="0.3">
      <c r="AC305" s="30">
        <v>4300.0000000028504</v>
      </c>
      <c r="AD305" s="31">
        <f t="shared" si="99"/>
        <v>0.18522683676372895</v>
      </c>
      <c r="AF305" s="32"/>
    </row>
    <row r="306" spans="29:32" x14ac:dyDescent="0.3">
      <c r="AC306" s="30">
        <v>4400.0000000029404</v>
      </c>
      <c r="AD306" s="31">
        <f t="shared" si="99"/>
        <v>0.18432183168784722</v>
      </c>
      <c r="AF306" s="32"/>
    </row>
    <row r="307" spans="29:32" x14ac:dyDescent="0.3">
      <c r="AC307" s="30">
        <v>4500.0000000030304</v>
      </c>
      <c r="AD307" s="31">
        <f t="shared" si="99"/>
        <v>0.18344020275279663</v>
      </c>
      <c r="AF307" s="32"/>
    </row>
    <row r="308" spans="29:32" x14ac:dyDescent="0.3">
      <c r="AC308" s="30">
        <v>4600.0000000031096</v>
      </c>
      <c r="AD308" s="31">
        <f t="shared" si="99"/>
        <v>0.18258082697052661</v>
      </c>
      <c r="AF308" s="32"/>
    </row>
    <row r="309" spans="29:32" x14ac:dyDescent="0.3">
      <c r="AC309" s="30">
        <v>4700.0000000031996</v>
      </c>
      <c r="AD309" s="31">
        <f t="shared" si="99"/>
        <v>0.18174265836225581</v>
      </c>
      <c r="AF309" s="32"/>
    </row>
    <row r="310" spans="29:32" x14ac:dyDescent="0.3">
      <c r="AC310" s="30">
        <v>4800.0000000032896</v>
      </c>
      <c r="AD310" s="31">
        <f t="shared" si="99"/>
        <v>0.18092472116775998</v>
      </c>
      <c r="AF310" s="32"/>
    </row>
    <row r="311" spans="29:32" x14ac:dyDescent="0.3">
      <c r="AC311" s="30">
        <v>4900.0000000033797</v>
      </c>
      <c r="AD311" s="31">
        <f t="shared" si="99"/>
        <v>0.18012610378102278</v>
      </c>
      <c r="AF311" s="32"/>
    </row>
    <row r="312" spans="29:32" x14ac:dyDescent="0.3">
      <c r="AC312" s="30">
        <v>5000.0000000034697</v>
      </c>
      <c r="AD312" s="31">
        <f t="shared" si="99"/>
        <v>0.1793459533214658</v>
      </c>
      <c r="AF312" s="32"/>
    </row>
    <row r="313" spans="29:32" x14ac:dyDescent="0.3">
      <c r="AC313" s="30">
        <v>5100.0000000035598</v>
      </c>
      <c r="AD313" s="31">
        <f t="shared" si="99"/>
        <v>0.17858347076289152</v>
      </c>
      <c r="AF313" s="32"/>
    </row>
    <row r="314" spans="29:32" x14ac:dyDescent="0.3">
      <c r="AC314" s="30">
        <v>5200.0000000036498</v>
      </c>
      <c r="AD314" s="31">
        <f t="shared" si="99"/>
        <v>0.17783790655313672</v>
      </c>
      <c r="AF314" s="32"/>
    </row>
    <row r="315" spans="29:32" x14ac:dyDescent="0.3">
      <c r="AC315" s="30">
        <v>5300.0000000037398</v>
      </c>
      <c r="AD315" s="31">
        <f t="shared" si="99"/>
        <v>0.17710855666660372</v>
      </c>
      <c r="AF315" s="32"/>
    </row>
    <row r="316" spans="29:32" x14ac:dyDescent="0.3">
      <c r="AC316" s="30">
        <v>5400.0000000038299</v>
      </c>
      <c r="AD316" s="31">
        <f t="shared" si="99"/>
        <v>0.17639475903960952</v>
      </c>
      <c r="AF316" s="32"/>
    </row>
    <row r="317" spans="29:32" x14ac:dyDescent="0.3">
      <c r="AC317" s="30">
        <v>5500.0000000039199</v>
      </c>
      <c r="AD317" s="31">
        <f t="shared" si="99"/>
        <v>0.17569589034508823</v>
      </c>
      <c r="AF317" s="32"/>
    </row>
    <row r="318" spans="29:32" x14ac:dyDescent="0.3">
      <c r="AC318" s="30">
        <v>5600.000000004</v>
      </c>
      <c r="AD318" s="31">
        <f t="shared" si="99"/>
        <v>0.17501136306881496</v>
      </c>
      <c r="AF318" s="32"/>
    </row>
    <row r="319" spans="29:32" x14ac:dyDescent="0.3">
      <c r="AC319" s="30">
        <v>5700.00000000409</v>
      </c>
      <c r="AD319" s="31">
        <f t="shared" si="99"/>
        <v>0.17434062285412807</v>
      </c>
      <c r="AF319" s="32"/>
    </row>
    <row r="320" spans="29:32" x14ac:dyDescent="0.3">
      <c r="AC320" s="30">
        <v>5800.00000000418</v>
      </c>
      <c r="AD320" s="31">
        <f t="shared" si="99"/>
        <v>0.17368314608625776</v>
      </c>
      <c r="AF320" s="32"/>
    </row>
    <row r="321" spans="29:32" x14ac:dyDescent="0.3">
      <c r="AC321" s="30">
        <v>5900.0000000042701</v>
      </c>
      <c r="AD321" s="31">
        <f t="shared" si="99"/>
        <v>0.17303843769091259</v>
      </c>
      <c r="AF321" s="32"/>
    </row>
    <row r="322" spans="29:32" x14ac:dyDescent="0.3">
      <c r="AC322" s="30">
        <v>6000.0000000043601</v>
      </c>
      <c r="AD322" s="31">
        <f t="shared" si="99"/>
        <v>0.1724060291248459</v>
      </c>
      <c r="AF322" s="32"/>
    </row>
    <row r="323" spans="29:32" x14ac:dyDescent="0.3">
      <c r="AC323" s="30">
        <v>6100.0000000044502</v>
      </c>
      <c r="AD323" s="31">
        <f t="shared" ref="AD323:AD386" si="100">(((EXP(-0.000003*AC323))*(((AC323^0.2)+1)/(AC323^0.2) - 1)))^(1)</f>
        <v>0.17178547653876095</v>
      </c>
      <c r="AF323" s="32"/>
    </row>
    <row r="324" spans="29:32" x14ac:dyDescent="0.3">
      <c r="AC324" s="30">
        <v>6200.0000000045402</v>
      </c>
      <c r="AD324" s="31">
        <f t="shared" si="100"/>
        <v>0.17117635909521942</v>
      </c>
      <c r="AF324" s="32"/>
    </row>
    <row r="325" spans="29:32" x14ac:dyDescent="0.3">
      <c r="AC325" s="30">
        <v>6300.0000000046302</v>
      </c>
      <c r="AD325" s="31">
        <f t="shared" si="100"/>
        <v>0.17057827742619941</v>
      </c>
      <c r="AF325" s="32"/>
    </row>
    <row r="326" spans="29:32" x14ac:dyDescent="0.3">
      <c r="AC326" s="30">
        <v>6400.0000000047203</v>
      </c>
      <c r="AD326" s="31">
        <f t="shared" si="100"/>
        <v>0.16999085221669943</v>
      </c>
      <c r="AF326" s="32"/>
    </row>
    <row r="327" spans="29:32" x14ac:dyDescent="0.3">
      <c r="AC327" s="30">
        <v>6500.0000000048103</v>
      </c>
      <c r="AD327" s="31">
        <f t="shared" si="100"/>
        <v>0.1694137229022927</v>
      </c>
      <c r="AF327" s="32"/>
    </row>
    <row r="328" spans="29:32" x14ac:dyDescent="0.3">
      <c r="AC328" s="30">
        <v>6600.0000000048904</v>
      </c>
      <c r="AD328" s="31">
        <f t="shared" si="100"/>
        <v>0.1688465464698628</v>
      </c>
      <c r="AF328" s="32"/>
    </row>
    <row r="329" spans="29:32" x14ac:dyDescent="0.3">
      <c r="AC329" s="30">
        <v>6700.0000000049804</v>
      </c>
      <c r="AD329" s="31">
        <f t="shared" si="100"/>
        <v>0.16828899635192363</v>
      </c>
      <c r="AF329" s="32"/>
    </row>
    <row r="330" spans="29:32" x14ac:dyDescent="0.3">
      <c r="AC330" s="30">
        <v>6800.0000000050704</v>
      </c>
      <c r="AD330" s="31">
        <f t="shared" si="100"/>
        <v>0.16774076140593958</v>
      </c>
      <c r="AF330" s="32"/>
    </row>
    <row r="331" spans="29:32" x14ac:dyDescent="0.3">
      <c r="AC331" s="30">
        <v>6900.0000000051596</v>
      </c>
      <c r="AD331" s="31">
        <f t="shared" si="100"/>
        <v>0.16720154497096909</v>
      </c>
      <c r="AF331" s="32"/>
    </row>
    <row r="332" spans="29:32" x14ac:dyDescent="0.3">
      <c r="AC332" s="30">
        <v>7000.0000000052496</v>
      </c>
      <c r="AD332" s="31">
        <f t="shared" si="100"/>
        <v>0.16667106399474166</v>
      </c>
      <c r="AF332" s="32"/>
    </row>
    <row r="333" spans="29:32" x14ac:dyDescent="0.3">
      <c r="AC333" s="30">
        <v>7100.0000000053396</v>
      </c>
      <c r="AD333" s="31">
        <f t="shared" si="100"/>
        <v>0.16614904822499313</v>
      </c>
      <c r="AF333" s="32"/>
    </row>
    <row r="334" spans="29:32" x14ac:dyDescent="0.3">
      <c r="AC334" s="30">
        <v>7200.0000000054297</v>
      </c>
      <c r="AD334" s="31">
        <f t="shared" si="100"/>
        <v>0.16563523945948816</v>
      </c>
      <c r="AF334" s="32"/>
    </row>
    <row r="335" spans="29:32" x14ac:dyDescent="0.3">
      <c r="AC335" s="30">
        <v>7300.0000000055197</v>
      </c>
      <c r="AD335" s="31">
        <f t="shared" si="100"/>
        <v>0.16512939084972678</v>
      </c>
      <c r="AF335" s="32"/>
    </row>
    <row r="336" spans="29:32" x14ac:dyDescent="0.3">
      <c r="AC336" s="30">
        <v>7400.0000000056098</v>
      </c>
      <c r="AD336" s="31">
        <f t="shared" si="100"/>
        <v>0.16463126625381247</v>
      </c>
      <c r="AF336" s="32"/>
    </row>
    <row r="337" spans="29:32" x14ac:dyDescent="0.3">
      <c r="AC337" s="30">
        <v>7500.0000000056998</v>
      </c>
      <c r="AD337" s="31">
        <f t="shared" si="100"/>
        <v>0.1641406396343944</v>
      </c>
      <c r="AF337" s="32"/>
    </row>
    <row r="338" spans="29:32" x14ac:dyDescent="0.3">
      <c r="AC338" s="30">
        <v>7600.0000000057898</v>
      </c>
      <c r="AD338" s="31">
        <f t="shared" si="100"/>
        <v>0.1636572944979964</v>
      </c>
      <c r="AF338" s="32"/>
    </row>
    <row r="339" spans="29:32" x14ac:dyDescent="0.3">
      <c r="AC339" s="30">
        <v>7700.0000000058699</v>
      </c>
      <c r="AD339" s="31">
        <f t="shared" si="100"/>
        <v>0.1631810233723755</v>
      </c>
      <c r="AF339" s="32"/>
    </row>
    <row r="340" spans="29:32" x14ac:dyDescent="0.3">
      <c r="AC340" s="30">
        <v>7800.0000000059599</v>
      </c>
      <c r="AD340" s="31">
        <f t="shared" si="100"/>
        <v>0.16271162731887995</v>
      </c>
      <c r="AF340" s="32"/>
    </row>
    <row r="341" spans="29:32" x14ac:dyDescent="0.3">
      <c r="AC341" s="30">
        <v>7900.00000000605</v>
      </c>
      <c r="AD341" s="31">
        <f t="shared" si="100"/>
        <v>0.16224891547704384</v>
      </c>
      <c r="AF341" s="32"/>
    </row>
    <row r="342" spans="29:32" x14ac:dyDescent="0.3">
      <c r="AC342" s="30">
        <v>8000.00000000614</v>
      </c>
      <c r="AD342" s="31">
        <f t="shared" si="100"/>
        <v>0.16179270463890835</v>
      </c>
      <c r="AF342" s="32"/>
    </row>
    <row r="343" spans="29:32" x14ac:dyDescent="0.3">
      <c r="AC343" s="30">
        <v>8100.00000000623</v>
      </c>
      <c r="AD343" s="31">
        <f t="shared" si="100"/>
        <v>0.16134281885078619</v>
      </c>
      <c r="AF343" s="32"/>
    </row>
    <row r="344" spans="29:32" x14ac:dyDescent="0.3">
      <c r="AC344" s="30">
        <v>8200.0000000063192</v>
      </c>
      <c r="AD344" s="31">
        <f t="shared" si="100"/>
        <v>0.1608990890403838</v>
      </c>
      <c r="AF344" s="32"/>
    </row>
    <row r="345" spans="29:32" x14ac:dyDescent="0.3">
      <c r="AC345" s="30">
        <v>8300.0000000064101</v>
      </c>
      <c r="AD345" s="31">
        <f t="shared" si="100"/>
        <v>0.16046135266737774</v>
      </c>
      <c r="AF345" s="32"/>
    </row>
    <row r="346" spans="29:32" x14ac:dyDescent="0.3">
      <c r="AC346" s="30">
        <v>8400.0000000064992</v>
      </c>
      <c r="AD346" s="31">
        <f t="shared" si="100"/>
        <v>0.16002945339570959</v>
      </c>
      <c r="AF346" s="32"/>
    </row>
    <row r="347" spans="29:32" x14ac:dyDescent="0.3">
      <c r="AC347" s="30">
        <v>8500.0000000065902</v>
      </c>
      <c r="AD347" s="31">
        <f t="shared" si="100"/>
        <v>0.15960324078600596</v>
      </c>
      <c r="AF347" s="32"/>
    </row>
    <row r="348" spans="29:32" x14ac:dyDescent="0.3">
      <c r="AC348" s="30">
        <v>8600.0000000066702</v>
      </c>
      <c r="AD348" s="31">
        <f t="shared" si="100"/>
        <v>0.1591825700066688</v>
      </c>
      <c r="AF348" s="32"/>
    </row>
    <row r="349" spans="29:32" x14ac:dyDescent="0.3">
      <c r="AC349" s="30">
        <v>8700.0000000067594</v>
      </c>
      <c r="AD349" s="31">
        <f t="shared" si="100"/>
        <v>0.15876730156229676</v>
      </c>
      <c r="AF349" s="32"/>
    </row>
    <row r="350" spans="29:32" x14ac:dyDescent="0.3">
      <c r="AC350" s="30">
        <v>8800.0000000068503</v>
      </c>
      <c r="AD350" s="31">
        <f t="shared" si="100"/>
        <v>0.15835730103821577</v>
      </c>
      <c r="AF350" s="32"/>
    </row>
    <row r="351" spans="29:32" x14ac:dyDescent="0.3">
      <c r="AC351" s="30">
        <v>8900.0000000069394</v>
      </c>
      <c r="AD351" s="31">
        <f t="shared" si="100"/>
        <v>0.15795243885999077</v>
      </c>
      <c r="AF351" s="32"/>
    </row>
    <row r="352" spans="29:32" x14ac:dyDescent="0.3">
      <c r="AC352" s="30">
        <v>9000.0000000070304</v>
      </c>
      <c r="AD352" s="31">
        <f t="shared" si="100"/>
        <v>0.15755259006687861</v>
      </c>
      <c r="AF352" s="32"/>
    </row>
    <row r="353" spans="29:32" x14ac:dyDescent="0.3">
      <c r="AC353" s="30">
        <v>9100.0000000071195</v>
      </c>
      <c r="AD353" s="31">
        <f t="shared" si="100"/>
        <v>0.15715763409827679</v>
      </c>
      <c r="AF353" s="32"/>
    </row>
    <row r="354" spans="29:32" x14ac:dyDescent="0.3">
      <c r="AC354" s="30">
        <v>9200.0000000072105</v>
      </c>
      <c r="AD354" s="31">
        <f t="shared" si="100"/>
        <v>0.15676745459227956</v>
      </c>
      <c r="AF354" s="32"/>
    </row>
    <row r="355" spans="29:32" x14ac:dyDescent="0.3">
      <c r="AC355" s="30">
        <v>9300.0000000072996</v>
      </c>
      <c r="AD355" s="31">
        <f t="shared" si="100"/>
        <v>0.15638193919553919</v>
      </c>
      <c r="AF355" s="32"/>
    </row>
    <row r="356" spans="29:32" x14ac:dyDescent="0.3">
      <c r="AC356" s="30">
        <v>9400.0000000073906</v>
      </c>
      <c r="AD356" s="31">
        <f t="shared" si="100"/>
        <v>0.15600097938367929</v>
      </c>
      <c r="AF356" s="32"/>
    </row>
    <row r="357" spans="29:32" x14ac:dyDescent="0.3">
      <c r="AC357" s="30">
        <v>9500.0000000074797</v>
      </c>
      <c r="AD357" s="31">
        <f t="shared" si="100"/>
        <v>0.15562447029156981</v>
      </c>
      <c r="AF357" s="32"/>
    </row>
    <row r="358" spans="29:32" x14ac:dyDescent="0.3">
      <c r="AC358" s="30">
        <v>9600.0000000075706</v>
      </c>
      <c r="AD358" s="31">
        <f t="shared" si="100"/>
        <v>0.15525231055282609</v>
      </c>
      <c r="AF358" s="32"/>
    </row>
    <row r="359" spans="29:32" x14ac:dyDescent="0.3">
      <c r="AC359" s="30">
        <v>9700.0000000076598</v>
      </c>
      <c r="AD359" s="31">
        <f t="shared" si="100"/>
        <v>0.15488440214793944</v>
      </c>
      <c r="AF359" s="32"/>
    </row>
    <row r="360" spans="29:32" x14ac:dyDescent="0.3">
      <c r="AC360" s="30">
        <v>9800.0000000077398</v>
      </c>
      <c r="AD360" s="31">
        <f t="shared" si="100"/>
        <v>0.15452065026048925</v>
      </c>
      <c r="AF360" s="32"/>
    </row>
    <row r="361" spans="29:32" x14ac:dyDescent="0.3">
      <c r="AC361" s="30">
        <v>9900.0000000078307</v>
      </c>
      <c r="AD361" s="31">
        <f t="shared" si="100"/>
        <v>0.15416096314093436</v>
      </c>
      <c r="AF361" s="32"/>
    </row>
    <row r="362" spans="29:32" x14ac:dyDescent="0.3">
      <c r="AC362" s="30">
        <v>10000.0000000079</v>
      </c>
      <c r="AD362" s="31">
        <f t="shared" si="100"/>
        <v>0.15380525197750444</v>
      </c>
      <c r="AF362" s="32"/>
    </row>
    <row r="363" spans="29:32" x14ac:dyDescent="0.3">
      <c r="AC363" s="30">
        <v>11000</v>
      </c>
      <c r="AD363" s="31">
        <f t="shared" si="100"/>
        <v>0.15044915229938277</v>
      </c>
      <c r="AF363" s="32"/>
    </row>
    <row r="364" spans="29:32" x14ac:dyDescent="0.3">
      <c r="AC364" s="30">
        <v>11999.9999999921</v>
      </c>
      <c r="AD364" s="31">
        <f t="shared" si="100"/>
        <v>0.14741074783775071</v>
      </c>
      <c r="AF364" s="32"/>
    </row>
    <row r="365" spans="29:32" x14ac:dyDescent="0.3">
      <c r="AC365" s="30">
        <v>12999.9999999842</v>
      </c>
      <c r="AD365" s="31">
        <f t="shared" si="100"/>
        <v>0.14463514813978517</v>
      </c>
      <c r="AF365" s="32"/>
    </row>
    <row r="366" spans="29:32" x14ac:dyDescent="0.3">
      <c r="AC366" s="30">
        <v>13999.9999999763</v>
      </c>
      <c r="AD366" s="31">
        <f t="shared" si="100"/>
        <v>0.1420803520774053</v>
      </c>
      <c r="AF366" s="32"/>
    </row>
    <row r="367" spans="29:32" x14ac:dyDescent="0.3">
      <c r="AC367" s="30">
        <v>14999.999999968401</v>
      </c>
      <c r="AD367" s="31">
        <f t="shared" si="100"/>
        <v>0.13971353991950214</v>
      </c>
      <c r="AF367" s="32"/>
    </row>
    <row r="368" spans="29:32" x14ac:dyDescent="0.3">
      <c r="AC368" s="30">
        <v>15999.999999960501</v>
      </c>
      <c r="AD368" s="31">
        <f t="shared" si="100"/>
        <v>0.13750860249345431</v>
      </c>
      <c r="AF368" s="32"/>
    </row>
    <row r="369" spans="29:32" x14ac:dyDescent="0.3">
      <c r="AC369" s="30">
        <v>16999.999999952601</v>
      </c>
      <c r="AD369" s="31">
        <f t="shared" si="100"/>
        <v>0.13544444474650091</v>
      </c>
      <c r="AF369" s="32"/>
    </row>
    <row r="370" spans="29:32" x14ac:dyDescent="0.3">
      <c r="AC370" s="30">
        <v>17999.999999944699</v>
      </c>
      <c r="AD370" s="31">
        <f t="shared" si="100"/>
        <v>0.13350379062170306</v>
      </c>
      <c r="AF370" s="32"/>
    </row>
    <row r="371" spans="29:32" x14ac:dyDescent="0.3">
      <c r="AC371" s="30">
        <v>18999.999999936801</v>
      </c>
      <c r="AD371" s="31">
        <f t="shared" si="100"/>
        <v>0.1316723220189524</v>
      </c>
      <c r="AF371" s="32"/>
    </row>
    <row r="372" spans="29:32" x14ac:dyDescent="0.3">
      <c r="AC372" s="30">
        <v>19999.999999928899</v>
      </c>
      <c r="AD372" s="31">
        <f t="shared" si="100"/>
        <v>0.12993804610995763</v>
      </c>
      <c r="AF372" s="32"/>
    </row>
    <row r="373" spans="29:32" x14ac:dyDescent="0.3">
      <c r="AC373" s="30">
        <v>20999.999999921001</v>
      </c>
      <c r="AD373" s="31">
        <f t="shared" si="100"/>
        <v>0.12829082226209343</v>
      </c>
      <c r="AF373" s="32"/>
    </row>
    <row r="374" spans="29:32" x14ac:dyDescent="0.3">
      <c r="AC374" s="30">
        <v>21999.9999999131</v>
      </c>
      <c r="AD374" s="31">
        <f t="shared" si="100"/>
        <v>0.12672200275560097</v>
      </c>
      <c r="AF374" s="32"/>
    </row>
    <row r="375" spans="29:32" x14ac:dyDescent="0.3">
      <c r="AC375" s="30">
        <v>22999.999999905202</v>
      </c>
      <c r="AD375" s="31">
        <f t="shared" si="100"/>
        <v>0.12522415608117768</v>
      </c>
      <c r="AF375" s="32"/>
    </row>
    <row r="376" spans="29:32" x14ac:dyDescent="0.3">
      <c r="AC376" s="30">
        <v>23999.9999998973</v>
      </c>
      <c r="AD376" s="31">
        <f t="shared" si="100"/>
        <v>0.12379085113017764</v>
      </c>
      <c r="AF376" s="32"/>
    </row>
    <row r="377" spans="29:32" x14ac:dyDescent="0.3">
      <c r="AC377" s="30">
        <v>24999.999999889402</v>
      </c>
      <c r="AD377" s="31">
        <f t="shared" si="100"/>
        <v>0.1224164869380038</v>
      </c>
      <c r="AF377" s="32"/>
    </row>
    <row r="378" spans="29:32" x14ac:dyDescent="0.3">
      <c r="AC378" s="30">
        <v>25999.9999998815</v>
      </c>
      <c r="AD378" s="31">
        <f t="shared" si="100"/>
        <v>0.12109615695534172</v>
      </c>
      <c r="AF378" s="32"/>
    </row>
    <row r="379" spans="29:32" x14ac:dyDescent="0.3">
      <c r="AC379" s="30">
        <v>26999.999999873598</v>
      </c>
      <c r="AD379" s="31">
        <f t="shared" si="100"/>
        <v>0.11982553980570695</v>
      </c>
      <c r="AF379" s="32"/>
    </row>
    <row r="380" spans="29:32" x14ac:dyDescent="0.3">
      <c r="AC380" s="30">
        <v>27999.9999998657</v>
      </c>
      <c r="AD380" s="31">
        <f t="shared" si="100"/>
        <v>0.11860081058495493</v>
      </c>
      <c r="AF380" s="32"/>
    </row>
    <row r="381" spans="29:32" x14ac:dyDescent="0.3">
      <c r="AC381" s="30">
        <v>28999.999999857799</v>
      </c>
      <c r="AD381" s="31">
        <f t="shared" si="100"/>
        <v>0.11741856825427405</v>
      </c>
      <c r="AF381" s="32"/>
    </row>
    <row r="382" spans="29:32" x14ac:dyDescent="0.3">
      <c r="AC382" s="30">
        <v>29999.999999849901</v>
      </c>
      <c r="AD382" s="31">
        <f t="shared" si="100"/>
        <v>0.11627577575968752</v>
      </c>
      <c r="AF382" s="32"/>
    </row>
    <row r="383" spans="29:32" x14ac:dyDescent="0.3">
      <c r="AC383" s="30">
        <v>30999.999999841999</v>
      </c>
      <c r="AD383" s="31">
        <f t="shared" si="100"/>
        <v>0.11516971030282412</v>
      </c>
      <c r="AF383" s="32"/>
    </row>
    <row r="384" spans="29:32" x14ac:dyDescent="0.3">
      <c r="AC384" s="30">
        <v>31999.999999834101</v>
      </c>
      <c r="AD384" s="31">
        <f t="shared" si="100"/>
        <v>0.1140979217740591</v>
      </c>
      <c r="AF384" s="32"/>
    </row>
    <row r="385" spans="29:32" x14ac:dyDescent="0.3">
      <c r="AC385" s="30">
        <v>32999.999999826199</v>
      </c>
      <c r="AD385" s="31">
        <f t="shared" si="100"/>
        <v>0.11305819779803605</v>
      </c>
      <c r="AF385" s="32"/>
    </row>
    <row r="386" spans="29:32" x14ac:dyDescent="0.3">
      <c r="AC386" s="30">
        <v>33999.999999818298</v>
      </c>
      <c r="AD386" s="31">
        <f t="shared" si="100"/>
        <v>0.11204853417341021</v>
      </c>
      <c r="AF386" s="32"/>
    </row>
    <row r="387" spans="29:32" x14ac:dyDescent="0.3">
      <c r="AC387" s="30">
        <v>34999.999999810403</v>
      </c>
      <c r="AD387" s="31">
        <f t="shared" ref="AD387:AD450" si="101">(((EXP(-0.000003*AC387))*(((AC387^0.2)+1)/(AC387^0.2) - 1)))^(1)</f>
        <v>0.1110671097419054</v>
      </c>
      <c r="AF387" s="32"/>
    </row>
    <row r="388" spans="29:32" x14ac:dyDescent="0.3">
      <c r="AC388" s="30">
        <v>35999.999999802501</v>
      </c>
      <c r="AD388" s="31">
        <f t="shared" si="101"/>
        <v>0.11011226491669915</v>
      </c>
      <c r="AF388" s="32"/>
    </row>
    <row r="389" spans="29:32" x14ac:dyDescent="0.3">
      <c r="AC389" s="30">
        <v>36999.9999997946</v>
      </c>
      <c r="AD389" s="31">
        <f t="shared" si="101"/>
        <v>0.10918248325145742</v>
      </c>
      <c r="AF389" s="32"/>
    </row>
    <row r="390" spans="29:32" x14ac:dyDescent="0.3">
      <c r="AC390" s="30">
        <v>37999.999999786698</v>
      </c>
      <c r="AD390" s="31">
        <f t="shared" si="101"/>
        <v>0.10827637554965903</v>
      </c>
      <c r="AF390" s="32"/>
    </row>
    <row r="391" spans="29:32" x14ac:dyDescent="0.3">
      <c r="AC391" s="30">
        <v>38999.999999778804</v>
      </c>
      <c r="AD391" s="31">
        <f t="shared" si="101"/>
        <v>0.10739266610705554</v>
      </c>
      <c r="AF391" s="32"/>
    </row>
    <row r="392" spans="29:32" x14ac:dyDescent="0.3">
      <c r="AC392" s="30">
        <v>39999.999999770902</v>
      </c>
      <c r="AD392" s="31">
        <f t="shared" si="101"/>
        <v>0.10653018075404125</v>
      </c>
      <c r="AF392" s="32"/>
    </row>
    <row r="393" spans="29:32" x14ac:dyDescent="0.3">
      <c r="AC393" s="30">
        <v>40999.999999763</v>
      </c>
      <c r="AD393" s="31">
        <f t="shared" si="101"/>
        <v>0.10568783642370828</v>
      </c>
      <c r="AF393" s="32"/>
    </row>
    <row r="394" spans="29:32" x14ac:dyDescent="0.3">
      <c r="AC394" s="30">
        <v>41999.999999755099</v>
      </c>
      <c r="AD394" s="31">
        <f t="shared" si="101"/>
        <v>0.10486463201875659</v>
      </c>
      <c r="AF394" s="32"/>
    </row>
    <row r="395" spans="29:32" x14ac:dyDescent="0.3">
      <c r="AC395" s="30">
        <v>42999.999999747197</v>
      </c>
      <c r="AD395" s="31">
        <f t="shared" si="101"/>
        <v>0.10405964038869701</v>
      </c>
      <c r="AF395" s="32"/>
    </row>
    <row r="396" spans="29:32" x14ac:dyDescent="0.3">
      <c r="AC396" s="30">
        <v>43999.999999739302</v>
      </c>
      <c r="AD396" s="31">
        <f t="shared" si="101"/>
        <v>0.1032720012598788</v>
      </c>
      <c r="AF396" s="32"/>
    </row>
    <row r="397" spans="29:32" x14ac:dyDescent="0.3">
      <c r="AC397" s="30">
        <v>44999.999999731401</v>
      </c>
      <c r="AD397" s="31">
        <f t="shared" si="101"/>
        <v>0.10250091498624</v>
      </c>
      <c r="AF397" s="32"/>
    </row>
    <row r="398" spans="29:32" x14ac:dyDescent="0.3">
      <c r="AC398" s="30">
        <v>45999.999999723499</v>
      </c>
      <c r="AD398" s="31">
        <f t="shared" si="101"/>
        <v>0.10174563700950855</v>
      </c>
      <c r="AF398" s="32"/>
    </row>
    <row r="399" spans="29:32" x14ac:dyDescent="0.3">
      <c r="AC399" s="30">
        <v>46999.999999715597</v>
      </c>
      <c r="AD399" s="31">
        <f t="shared" si="101"/>
        <v>0.1010054729347315</v>
      </c>
      <c r="AF399" s="32"/>
    </row>
    <row r="400" spans="29:32" x14ac:dyDescent="0.3">
      <c r="AC400" s="30">
        <v>47999.999999707703</v>
      </c>
      <c r="AD400" s="31">
        <f t="shared" si="101"/>
        <v>0.10027977414122816</v>
      </c>
      <c r="AF400" s="32"/>
    </row>
    <row r="401" spans="29:32" x14ac:dyDescent="0.3">
      <c r="AC401" s="30">
        <v>48999.999999699801</v>
      </c>
      <c r="AD401" s="31">
        <f t="shared" si="101"/>
        <v>9.9567933860867555E-2</v>
      </c>
      <c r="AF401" s="32"/>
    </row>
    <row r="402" spans="29:32" x14ac:dyDescent="0.3">
      <c r="AC402" s="30">
        <v>49999.9999996919</v>
      </c>
      <c r="AD402" s="31">
        <f t="shared" si="101"/>
        <v>9.886938366544222E-2</v>
      </c>
      <c r="AF402" s="32"/>
    </row>
    <row r="403" spans="29:32" x14ac:dyDescent="0.3">
      <c r="AC403" s="30">
        <v>50999.999999683998</v>
      </c>
      <c r="AD403" s="31">
        <f t="shared" si="101"/>
        <v>9.8183590313173419E-2</v>
      </c>
      <c r="AF403" s="32"/>
    </row>
    <row r="404" spans="29:32" x14ac:dyDescent="0.3">
      <c r="AC404" s="30">
        <v>51999.999999676103</v>
      </c>
      <c r="AD404" s="31">
        <f t="shared" si="101"/>
        <v>9.7510052911340461E-2</v>
      </c>
      <c r="AF404" s="32"/>
    </row>
    <row r="405" spans="29:32" x14ac:dyDescent="0.3">
      <c r="AC405" s="30">
        <v>52999.999999668202</v>
      </c>
      <c r="AD405" s="31">
        <f t="shared" si="101"/>
        <v>9.6848300357899333E-2</v>
      </c>
      <c r="AF405" s="32"/>
    </row>
    <row r="406" spans="29:32" x14ac:dyDescent="0.3">
      <c r="AC406" s="30">
        <v>53999.9999996603</v>
      </c>
      <c r="AD406" s="31">
        <f t="shared" si="101"/>
        <v>9.6197889029935424E-2</v>
      </c>
      <c r="AF406" s="32"/>
    </row>
    <row r="407" spans="29:32" x14ac:dyDescent="0.3">
      <c r="AC407" s="30">
        <v>54999.999999652398</v>
      </c>
      <c r="AD407" s="31">
        <f t="shared" si="101"/>
        <v>9.5558400691018036E-2</v>
      </c>
      <c r="AF407" s="32"/>
    </row>
    <row r="408" spans="29:32" x14ac:dyDescent="0.3">
      <c r="AC408" s="30">
        <v>55999.999999644497</v>
      </c>
      <c r="AD408" s="31">
        <f t="shared" si="101"/>
        <v>9.4929440593142358E-2</v>
      </c>
      <c r="AF408" s="32"/>
    </row>
    <row r="409" spans="29:32" x14ac:dyDescent="0.3">
      <c r="AC409" s="30">
        <v>56999.999999636602</v>
      </c>
      <c r="AD409" s="31">
        <f t="shared" si="101"/>
        <v>9.4310635752017993E-2</v>
      </c>
      <c r="AF409" s="32"/>
    </row>
    <row r="410" spans="29:32" x14ac:dyDescent="0.3">
      <c r="AC410" s="30">
        <v>57999.999999628701</v>
      </c>
      <c r="AD410" s="31">
        <f t="shared" si="101"/>
        <v>9.3701633377123603E-2</v>
      </c>
      <c r="AF410" s="32"/>
    </row>
    <row r="411" spans="29:32" x14ac:dyDescent="0.3">
      <c r="AC411" s="30">
        <v>58999.999999620799</v>
      </c>
      <c r="AD411" s="31">
        <f t="shared" si="101"/>
        <v>9.3102099440212582E-2</v>
      </c>
      <c r="AF411" s="32"/>
    </row>
    <row r="412" spans="29:32" x14ac:dyDescent="0.3">
      <c r="AC412" s="30">
        <v>59999.999999612897</v>
      </c>
      <c r="AD412" s="31">
        <f t="shared" si="101"/>
        <v>9.2511717367927709E-2</v>
      </c>
      <c r="AF412" s="32"/>
    </row>
    <row r="413" spans="29:32" x14ac:dyDescent="0.3">
      <c r="AC413" s="30">
        <v>60999.999999605003</v>
      </c>
      <c r="AD413" s="31">
        <f t="shared" si="101"/>
        <v>9.1930186845879946E-2</v>
      </c>
      <c r="AF413" s="32"/>
    </row>
    <row r="414" spans="29:32" x14ac:dyDescent="0.3">
      <c r="AC414" s="30">
        <v>61999.999999597101</v>
      </c>
      <c r="AD414" s="31">
        <f t="shared" si="101"/>
        <v>9.1357222723018688E-2</v>
      </c>
      <c r="AF414" s="32"/>
    </row>
    <row r="415" spans="29:32" x14ac:dyDescent="0.3">
      <c r="AC415" s="30">
        <v>62999.999999589199</v>
      </c>
      <c r="AD415" s="31">
        <f t="shared" si="101"/>
        <v>9.0792554006402959E-2</v>
      </c>
      <c r="AF415" s="32"/>
    </row>
    <row r="416" spans="29:32" x14ac:dyDescent="0.3">
      <c r="AC416" s="30">
        <v>63999.999999581298</v>
      </c>
      <c r="AD416" s="31">
        <f t="shared" si="101"/>
        <v>9.0235922937601173E-2</v>
      </c>
      <c r="AF416" s="32"/>
    </row>
    <row r="417" spans="29:32" x14ac:dyDescent="0.3">
      <c r="AC417" s="30">
        <v>64999.999999573403</v>
      </c>
      <c r="AD417" s="31">
        <f t="shared" si="101"/>
        <v>8.9687084142917997E-2</v>
      </c>
      <c r="AF417" s="32"/>
    </row>
    <row r="418" spans="29:32" x14ac:dyDescent="0.3">
      <c r="AC418" s="30">
        <v>65999.999999565494</v>
      </c>
      <c r="AD418" s="31">
        <f t="shared" si="101"/>
        <v>8.9145803850503885E-2</v>
      </c>
      <c r="AF418" s="32"/>
    </row>
    <row r="419" spans="29:32" x14ac:dyDescent="0.3">
      <c r="AC419" s="30">
        <v>66999.999999557607</v>
      </c>
      <c r="AD419" s="31">
        <f t="shared" si="101"/>
        <v>8.8611859168150717E-2</v>
      </c>
      <c r="AF419" s="32"/>
    </row>
    <row r="420" spans="29:32" x14ac:dyDescent="0.3">
      <c r="AC420" s="30">
        <v>67999.999999549706</v>
      </c>
      <c r="AD420" s="31">
        <f t="shared" si="101"/>
        <v>8.8085037416231013E-2</v>
      </c>
      <c r="AF420" s="32"/>
    </row>
    <row r="421" spans="29:32" x14ac:dyDescent="0.3">
      <c r="AC421" s="30">
        <v>68999.999999541804</v>
      </c>
      <c r="AD421" s="31">
        <f t="shared" si="101"/>
        <v>8.7565135510824316E-2</v>
      </c>
      <c r="AF421" s="32"/>
    </row>
    <row r="422" spans="29:32" x14ac:dyDescent="0.3">
      <c r="AC422" s="30">
        <v>69999.999999533902</v>
      </c>
      <c r="AD422" s="31">
        <f t="shared" si="101"/>
        <v>8.70519593925798E-2</v>
      </c>
      <c r="AF422" s="32"/>
    </row>
    <row r="423" spans="29:32" x14ac:dyDescent="0.3">
      <c r="AC423" s="30">
        <v>70999.999999526</v>
      </c>
      <c r="AD423" s="31">
        <f t="shared" si="101"/>
        <v>8.6545323497319415E-2</v>
      </c>
      <c r="AF423" s="32"/>
    </row>
    <row r="424" spans="29:32" x14ac:dyDescent="0.3">
      <c r="AC424" s="30">
        <v>71999.999999518099</v>
      </c>
      <c r="AD424" s="31">
        <f t="shared" si="101"/>
        <v>8.604505026478533E-2</v>
      </c>
      <c r="AF424" s="32"/>
    </row>
    <row r="425" spans="29:32" x14ac:dyDescent="0.3">
      <c r="AC425" s="30">
        <v>72999.999999510197</v>
      </c>
      <c r="AD425" s="31">
        <f t="shared" si="101"/>
        <v>8.5550969682291242E-2</v>
      </c>
      <c r="AF425" s="32"/>
    </row>
    <row r="426" spans="29:32" x14ac:dyDescent="0.3">
      <c r="AC426" s="30">
        <v>73999.999999502295</v>
      </c>
      <c r="AD426" s="31">
        <f t="shared" si="101"/>
        <v>8.5062918860352263E-2</v>
      </c>
      <c r="AF426" s="32"/>
    </row>
    <row r="427" spans="29:32" x14ac:dyDescent="0.3">
      <c r="AC427" s="30">
        <v>74999.999999494394</v>
      </c>
      <c r="AD427" s="31">
        <f t="shared" si="101"/>
        <v>8.4580741637650461E-2</v>
      </c>
      <c r="AF427" s="32"/>
    </row>
    <row r="428" spans="29:32" x14ac:dyDescent="0.3">
      <c r="AC428" s="30">
        <v>75999.999999486507</v>
      </c>
      <c r="AD428" s="31">
        <f t="shared" si="101"/>
        <v>8.4104288212942621E-2</v>
      </c>
      <c r="AF428" s="32"/>
    </row>
    <row r="429" spans="29:32" x14ac:dyDescent="0.3">
      <c r="AC429" s="30">
        <v>76999.999999478605</v>
      </c>
      <c r="AD429" s="31">
        <f t="shared" si="101"/>
        <v>8.3633414801742426E-2</v>
      </c>
      <c r="AF429" s="32"/>
    </row>
    <row r="430" spans="29:32" x14ac:dyDescent="0.3">
      <c r="AC430" s="30">
        <v>77999.999999470703</v>
      </c>
      <c r="AD430" s="31">
        <f t="shared" si="101"/>
        <v>8.3167983315806951E-2</v>
      </c>
      <c r="AF430" s="32"/>
    </row>
    <row r="431" spans="29:32" x14ac:dyDescent="0.3">
      <c r="AC431" s="30">
        <v>78999.999999462801</v>
      </c>
      <c r="AD431" s="31">
        <f t="shared" si="101"/>
        <v>8.2707861063641488E-2</v>
      </c>
      <c r="AF431" s="32"/>
    </row>
    <row r="432" spans="29:32" x14ac:dyDescent="0.3">
      <c r="AC432" s="30">
        <v>79999.9999994549</v>
      </c>
      <c r="AD432" s="31">
        <f t="shared" si="101"/>
        <v>8.225292047039276E-2</v>
      </c>
      <c r="AF432" s="32"/>
    </row>
    <row r="433" spans="29:32" x14ac:dyDescent="0.3">
      <c r="AC433" s="30">
        <v>80999.999999446998</v>
      </c>
      <c r="AD433" s="31">
        <f t="shared" si="101"/>
        <v>8.1803038815649126E-2</v>
      </c>
      <c r="AF433" s="32"/>
    </row>
    <row r="434" spans="29:32" x14ac:dyDescent="0.3">
      <c r="AC434" s="30">
        <v>81999.999999439096</v>
      </c>
      <c r="AD434" s="31">
        <f t="shared" si="101"/>
        <v>8.1358097987795058E-2</v>
      </c>
      <c r="AF434" s="32"/>
    </row>
    <row r="435" spans="29:32" x14ac:dyDescent="0.3">
      <c r="AC435" s="30">
        <v>82999.999999431195</v>
      </c>
      <c r="AD435" s="31">
        <f t="shared" si="101"/>
        <v>8.0917984253684211E-2</v>
      </c>
      <c r="AF435" s="32"/>
    </row>
    <row r="436" spans="29:32" x14ac:dyDescent="0.3">
      <c r="AC436" s="30">
        <v>83999.999999423293</v>
      </c>
      <c r="AD436" s="31">
        <f t="shared" si="101"/>
        <v>8.0482588042502329E-2</v>
      </c>
      <c r="AF436" s="32"/>
    </row>
    <row r="437" spans="29:32" x14ac:dyDescent="0.3">
      <c r="AC437" s="30">
        <v>84999.999999415406</v>
      </c>
      <c r="AD437" s="31">
        <f t="shared" si="101"/>
        <v>8.0051803742787864E-2</v>
      </c>
      <c r="AF437" s="32"/>
    </row>
    <row r="438" spans="29:32" x14ac:dyDescent="0.3">
      <c r="AC438" s="30">
        <v>85999.999999407504</v>
      </c>
      <c r="AD438" s="31">
        <f t="shared" si="101"/>
        <v>7.9625529511660215E-2</v>
      </c>
      <c r="AF438" s="32"/>
    </row>
    <row r="439" spans="29:32" x14ac:dyDescent="0.3">
      <c r="AC439" s="30">
        <v>86999.999999399603</v>
      </c>
      <c r="AD439" s="31">
        <f t="shared" si="101"/>
        <v>7.9203667095391173E-2</v>
      </c>
      <c r="AF439" s="32"/>
    </row>
    <row r="440" spans="29:32" x14ac:dyDescent="0.3">
      <c r="AC440" s="30">
        <v>87999.999999391701</v>
      </c>
      <c r="AD440" s="31">
        <f t="shared" si="101"/>
        <v>7.8786121660517391E-2</v>
      </c>
      <c r="AF440" s="32"/>
    </row>
    <row r="441" spans="29:32" x14ac:dyDescent="0.3">
      <c r="AC441" s="30">
        <v>88999.999999383799</v>
      </c>
      <c r="AD441" s="31">
        <f t="shared" si="101"/>
        <v>7.8372801634765954E-2</v>
      </c>
      <c r="AF441" s="32"/>
    </row>
    <row r="442" spans="29:32" x14ac:dyDescent="0.3">
      <c r="AC442" s="30">
        <v>89999.999999375897</v>
      </c>
      <c r="AD442" s="31">
        <f t="shared" si="101"/>
        <v>7.7963618557114062E-2</v>
      </c>
      <c r="AF442" s="32"/>
    </row>
    <row r="443" spans="29:32" x14ac:dyDescent="0.3">
      <c r="AC443" s="30">
        <v>90999.999999367996</v>
      </c>
      <c r="AD443" s="31">
        <f t="shared" si="101"/>
        <v>7.7558486936365412E-2</v>
      </c>
      <c r="AF443" s="32"/>
    </row>
    <row r="444" spans="29:32" x14ac:dyDescent="0.3">
      <c r="AC444" s="30">
        <v>91999.999999360094</v>
      </c>
      <c r="AD444" s="31">
        <f t="shared" si="101"/>
        <v>7.7157324117668777E-2</v>
      </c>
      <c r="AF444" s="32"/>
    </row>
    <row r="445" spans="29:32" x14ac:dyDescent="0.3">
      <c r="AC445" s="30">
        <v>92999.999999352207</v>
      </c>
      <c r="AD445" s="31">
        <f t="shared" si="101"/>
        <v>7.6760050156450793E-2</v>
      </c>
      <c r="AF445" s="32"/>
    </row>
    <row r="446" spans="29:32" x14ac:dyDescent="0.3">
      <c r="AC446" s="30">
        <v>93999.999999344305</v>
      </c>
      <c r="AD446" s="31">
        <f t="shared" si="101"/>
        <v>7.6366587699276997E-2</v>
      </c>
      <c r="AF446" s="32"/>
    </row>
    <row r="447" spans="29:32" x14ac:dyDescent="0.3">
      <c r="AC447" s="30">
        <v>94999.999999336404</v>
      </c>
      <c r="AD447" s="31">
        <f t="shared" si="101"/>
        <v>7.5976861871187976E-2</v>
      </c>
      <c r="AF447" s="32"/>
    </row>
    <row r="448" spans="29:32" x14ac:dyDescent="0.3">
      <c r="AC448" s="30">
        <v>95999.999999328502</v>
      </c>
      <c r="AD448" s="31">
        <f t="shared" si="101"/>
        <v>7.5590800169094419E-2</v>
      </c>
      <c r="AF448" s="32"/>
    </row>
    <row r="449" spans="29:32" x14ac:dyDescent="0.3">
      <c r="AC449" s="30">
        <v>96999.9999993206</v>
      </c>
      <c r="AD449" s="31">
        <f t="shared" si="101"/>
        <v>7.5208332360847285E-2</v>
      </c>
      <c r="AF449" s="32"/>
    </row>
    <row r="450" spans="29:32" x14ac:dyDescent="0.3">
      <c r="AC450" s="30">
        <v>97999.999999312698</v>
      </c>
      <c r="AD450" s="31">
        <f t="shared" si="101"/>
        <v>7.482939038962097E-2</v>
      </c>
      <c r="AF450" s="32"/>
    </row>
    <row r="451" spans="29:32" x14ac:dyDescent="0.3">
      <c r="AC451" s="30">
        <v>98999.999999304797</v>
      </c>
      <c r="AD451" s="31">
        <f t="shared" ref="AD451:AD514" si="102">(((EXP(-0.000003*AC451))*(((AC451^0.2)+1)/(AC451^0.2) - 1)))^(1)</f>
        <v>7.4453908283281911E-2</v>
      </c>
      <c r="AF451" s="32"/>
    </row>
    <row r="452" spans="29:32" x14ac:dyDescent="0.3">
      <c r="AC452" s="30">
        <v>99999.999999296895</v>
      </c>
      <c r="AD452" s="31">
        <f t="shared" si="102"/>
        <v>7.4081822068432238E-2</v>
      </c>
      <c r="AF452" s="32"/>
    </row>
    <row r="453" spans="29:32" x14ac:dyDescent="0.3">
      <c r="AC453" s="30">
        <v>110000</v>
      </c>
      <c r="AD453" s="31">
        <f t="shared" si="102"/>
        <v>7.0534937188664035E-2</v>
      </c>
      <c r="AF453" s="32"/>
    </row>
    <row r="454" spans="29:32" x14ac:dyDescent="0.3">
      <c r="AC454" s="30">
        <v>120000.000000703</v>
      </c>
      <c r="AD454" s="31">
        <f t="shared" si="102"/>
        <v>6.7269428381557403E-2</v>
      </c>
      <c r="AF454" s="32"/>
    </row>
    <row r="455" spans="29:32" x14ac:dyDescent="0.3">
      <c r="AC455" s="30">
        <v>130000.00000140601</v>
      </c>
      <c r="AD455" s="31">
        <f t="shared" si="102"/>
        <v>6.4244578127133703E-2</v>
      </c>
      <c r="AF455" s="32"/>
    </row>
    <row r="456" spans="29:32" x14ac:dyDescent="0.3">
      <c r="AC456" s="30">
        <v>140000.00000210901</v>
      </c>
      <c r="AD456" s="31">
        <f t="shared" si="102"/>
        <v>6.14286131399501E-2</v>
      </c>
      <c r="AF456" s="32"/>
    </row>
    <row r="457" spans="29:32" x14ac:dyDescent="0.3">
      <c r="AC457" s="30">
        <v>150000.00000281201</v>
      </c>
      <c r="AD457" s="31">
        <f t="shared" si="102"/>
        <v>5.8796196318674249E-2</v>
      </c>
      <c r="AF457" s="32"/>
    </row>
    <row r="458" spans="29:32" x14ac:dyDescent="0.3">
      <c r="AC458" s="30">
        <v>160000.000003516</v>
      </c>
      <c r="AD458" s="31">
        <f t="shared" si="102"/>
        <v>5.6326744626624362E-2</v>
      </c>
      <c r="AF458" s="32"/>
    </row>
    <row r="459" spans="29:32" x14ac:dyDescent="0.3">
      <c r="AC459" s="30">
        <v>170000.00000421901</v>
      </c>
      <c r="AD459" s="31">
        <f t="shared" si="102"/>
        <v>5.4003266515256582E-2</v>
      </c>
      <c r="AF459" s="32"/>
    </row>
    <row r="460" spans="29:32" x14ac:dyDescent="0.3">
      <c r="AC460" s="30">
        <v>180000.00000492201</v>
      </c>
      <c r="AD460" s="31">
        <f t="shared" si="102"/>
        <v>5.181153733745561E-2</v>
      </c>
      <c r="AF460" s="32"/>
    </row>
    <row r="461" spans="29:32" x14ac:dyDescent="0.3">
      <c r="AC461" s="30">
        <v>190000.00000562501</v>
      </c>
      <c r="AD461" s="31">
        <f t="shared" si="102"/>
        <v>4.9739501127987189E-2</v>
      </c>
      <c r="AF461" s="32"/>
    </row>
    <row r="462" spans="29:32" x14ac:dyDescent="0.3">
      <c r="AC462" s="30">
        <v>200000.00000632799</v>
      </c>
      <c r="AD462" s="31">
        <f t="shared" si="102"/>
        <v>4.7776827893302891E-2</v>
      </c>
      <c r="AF462" s="32"/>
    </row>
    <row r="463" spans="29:32" x14ac:dyDescent="0.3">
      <c r="AC463" s="30">
        <v>210000.00000703099</v>
      </c>
      <c r="AD463" s="31">
        <f t="shared" si="102"/>
        <v>4.5914580152815208E-2</v>
      </c>
      <c r="AF463" s="32"/>
    </row>
    <row r="464" spans="29:32" x14ac:dyDescent="0.3">
      <c r="AC464" s="30">
        <v>220000.00000773399</v>
      </c>
      <c r="AD464" s="31">
        <f t="shared" si="102"/>
        <v>4.4144957776716405E-2</v>
      </c>
      <c r="AF464" s="32"/>
    </row>
    <row r="465" spans="29:32" x14ac:dyDescent="0.3">
      <c r="AC465" s="30">
        <v>230000.000008437</v>
      </c>
      <c r="AD465" s="31">
        <f t="shared" si="102"/>
        <v>4.246109994450907E-2</v>
      </c>
      <c r="AF465" s="32"/>
    </row>
    <row r="466" spans="29:32" x14ac:dyDescent="0.3">
      <c r="AC466" s="30">
        <v>240000.00000914</v>
      </c>
      <c r="AD466" s="31">
        <f t="shared" si="102"/>
        <v>4.0856929449310547E-2</v>
      </c>
      <c r="AF466" s="32"/>
    </row>
    <row r="467" spans="29:32" x14ac:dyDescent="0.3">
      <c r="AC467" s="30">
        <v>250000.00000984399</v>
      </c>
      <c r="AD467" s="31">
        <f t="shared" si="102"/>
        <v>3.9327028853918679E-2</v>
      </c>
      <c r="AF467" s="32"/>
    </row>
    <row r="468" spans="29:32" x14ac:dyDescent="0.3">
      <c r="AC468" s="30">
        <v>260000.000010547</v>
      </c>
      <c r="AD468" s="31">
        <f t="shared" si="102"/>
        <v>3.7866540923940789E-2</v>
      </c>
      <c r="AF468" s="32"/>
    </row>
    <row r="469" spans="29:32" x14ac:dyDescent="0.3">
      <c r="AC469" s="30">
        <v>270000.00001125003</v>
      </c>
      <c r="AD469" s="31">
        <f t="shared" si="102"/>
        <v>3.6471087789529448E-2</v>
      </c>
      <c r="AF469" s="32"/>
    </row>
    <row r="470" spans="29:32" x14ac:dyDescent="0.3">
      <c r="AC470" s="30">
        <v>280000.000011953</v>
      </c>
      <c r="AD470" s="31">
        <f t="shared" si="102"/>
        <v>3.5136704716481379E-2</v>
      </c>
      <c r="AF470" s="32"/>
    </row>
    <row r="471" spans="29:32" x14ac:dyDescent="0.3">
      <c r="AC471" s="30">
        <v>290000.00001265598</v>
      </c>
      <c r="AD471" s="31">
        <f t="shared" si="102"/>
        <v>3.385978539051205E-2</v>
      </c>
      <c r="AF471" s="32"/>
    </row>
    <row r="472" spans="29:32" x14ac:dyDescent="0.3">
      <c r="AC472" s="30">
        <v>300000.00001335901</v>
      </c>
      <c r="AD472" s="31">
        <f t="shared" si="102"/>
        <v>3.2637036360850767E-2</v>
      </c>
      <c r="AF472" s="32"/>
    </row>
    <row r="473" spans="29:32" x14ac:dyDescent="0.3">
      <c r="AC473" s="30">
        <v>310000.00001406198</v>
      </c>
      <c r="AD473" s="31">
        <f t="shared" si="102"/>
        <v>3.146543883470812E-2</v>
      </c>
      <c r="AF473" s="32"/>
    </row>
    <row r="474" spans="29:32" x14ac:dyDescent="0.3">
      <c r="AC474" s="30">
        <v>320000.00001476501</v>
      </c>
      <c r="AD474" s="31">
        <f t="shared" si="102"/>
        <v>3.0342216419563212E-2</v>
      </c>
      <c r="AF474" s="32"/>
    </row>
    <row r="475" spans="29:32" x14ac:dyDescent="0.3">
      <c r="AC475" s="30">
        <v>330000.00001546799</v>
      </c>
      <c r="AD475" s="31">
        <f t="shared" si="102"/>
        <v>2.9264807714792413E-2</v>
      </c>
      <c r="AF475" s="32"/>
    </row>
    <row r="476" spans="29:32" x14ac:dyDescent="0.3">
      <c r="AC476" s="30">
        <v>340000.00001617201</v>
      </c>
      <c r="AD476" s="31">
        <f t="shared" si="102"/>
        <v>2.8230842885298126E-2</v>
      </c>
      <c r="AF476" s="32"/>
    </row>
    <row r="477" spans="29:32" x14ac:dyDescent="0.3">
      <c r="AC477" s="30">
        <v>350000.00001687498</v>
      </c>
      <c r="AD477" s="31">
        <f t="shared" si="102"/>
        <v>2.7238123526843183E-2</v>
      </c>
      <c r="AF477" s="32"/>
    </row>
    <row r="478" spans="29:32" x14ac:dyDescent="0.3">
      <c r="AC478" s="30">
        <v>360000.00001757802</v>
      </c>
      <c r="AD478" s="31">
        <f t="shared" si="102"/>
        <v>2.6284605269599987E-2</v>
      </c>
      <c r="AF478" s="32"/>
    </row>
    <row r="479" spans="29:32" x14ac:dyDescent="0.3">
      <c r="AC479" s="30">
        <v>370000.00001828099</v>
      </c>
      <c r="AD479" s="31">
        <f t="shared" si="102"/>
        <v>2.5368382673009022E-2</v>
      </c>
      <c r="AF479" s="32"/>
    </row>
    <row r="480" spans="29:32" x14ac:dyDescent="0.3">
      <c r="AC480" s="30">
        <v>380000.00001898402</v>
      </c>
      <c r="AD480" s="31">
        <f t="shared" si="102"/>
        <v>2.4487676048715042E-2</v>
      </c>
      <c r="AF480" s="32"/>
    </row>
    <row r="481" spans="29:32" x14ac:dyDescent="0.3">
      <c r="AC481" s="30">
        <v>390000.000019687</v>
      </c>
      <c r="AD481" s="31">
        <f t="shared" si="102"/>
        <v>2.3640819914520942E-2</v>
      </c>
      <c r="AF481" s="32"/>
    </row>
    <row r="482" spans="29:32" x14ac:dyDescent="0.3">
      <c r="AC482" s="30">
        <v>400000.00002039003</v>
      </c>
      <c r="AD482" s="31">
        <f t="shared" si="102"/>
        <v>2.2826252834989399E-2</v>
      </c>
      <c r="AF482" s="32"/>
    </row>
    <row r="483" spans="29:32" x14ac:dyDescent="0.3">
      <c r="AC483" s="30">
        <v>410000.000021093</v>
      </c>
      <c r="AD483" s="31">
        <f t="shared" si="102"/>
        <v>2.2042508446542659E-2</v>
      </c>
      <c r="AF483" s="32"/>
    </row>
    <row r="484" spans="29:32" x14ac:dyDescent="0.3">
      <c r="AC484" s="30">
        <v>420000.00002179598</v>
      </c>
      <c r="AD484" s="31">
        <f t="shared" si="102"/>
        <v>2.1288207498959322E-2</v>
      </c>
      <c r="AF484" s="32"/>
    </row>
    <row r="485" spans="29:32" x14ac:dyDescent="0.3">
      <c r="AC485" s="30">
        <v>430000.00002249901</v>
      </c>
      <c r="AD485" s="31">
        <f t="shared" si="102"/>
        <v>2.0562050772775002E-2</v>
      </c>
      <c r="AF485" s="32"/>
    </row>
    <row r="486" spans="29:32" x14ac:dyDescent="0.3">
      <c r="AC486" s="30">
        <v>440000.00002320303</v>
      </c>
      <c r="AD486" s="31">
        <f t="shared" si="102"/>
        <v>1.9862812754611648E-2</v>
      </c>
      <c r="AF486" s="32"/>
    </row>
    <row r="487" spans="29:32" x14ac:dyDescent="0.3">
      <c r="AC487" s="30">
        <v>450000.000023906</v>
      </c>
      <c r="AD487" s="31">
        <f t="shared" si="102"/>
        <v>1.9189335970916585E-2</v>
      </c>
      <c r="AF487" s="32"/>
    </row>
    <row r="488" spans="29:32" x14ac:dyDescent="0.3">
      <c r="AC488" s="30">
        <v>460000.00002460898</v>
      </c>
      <c r="AD488" s="31">
        <f t="shared" si="102"/>
        <v>1.8540525895797844E-2</v>
      </c>
      <c r="AF488" s="32"/>
    </row>
    <row r="489" spans="29:32" x14ac:dyDescent="0.3">
      <c r="AC489" s="30">
        <v>470000.00002531201</v>
      </c>
      <c r="AD489" s="31">
        <f t="shared" si="102"/>
        <v>1.7915346361231814E-2</v>
      </c>
      <c r="AF489" s="32"/>
    </row>
    <row r="490" spans="29:32" x14ac:dyDescent="0.3">
      <c r="AC490" s="30">
        <v>480000.00002601498</v>
      </c>
      <c r="AD490" s="31">
        <f t="shared" si="102"/>
        <v>1.7312815408384329E-2</v>
      </c>
      <c r="AF490" s="32"/>
    </row>
    <row r="491" spans="29:32" x14ac:dyDescent="0.3">
      <c r="AC491" s="30">
        <v>490000.00002671801</v>
      </c>
      <c r="AD491" s="31">
        <f t="shared" si="102"/>
        <v>1.6732001527527334E-2</v>
      </c>
      <c r="AF491" s="32"/>
    </row>
    <row r="492" spans="29:32" x14ac:dyDescent="0.3">
      <c r="AC492" s="30">
        <v>500000.00002742099</v>
      </c>
      <c r="AD492" s="31">
        <f t="shared" si="102"/>
        <v>1.6172020241365184E-2</v>
      </c>
      <c r="AF492" s="32"/>
    </row>
    <row r="493" spans="29:32" x14ac:dyDescent="0.3">
      <c r="AC493" s="30">
        <v>510000.00002812402</v>
      </c>
      <c r="AD493" s="31">
        <f t="shared" si="102"/>
        <v>1.5632030992756233E-2</v>
      </c>
      <c r="AF493" s="32"/>
    </row>
    <row r="494" spans="29:32" x14ac:dyDescent="0.3">
      <c r="AC494" s="30">
        <v>520000.00002882699</v>
      </c>
      <c r="AD494" s="31">
        <f t="shared" si="102"/>
        <v>1.5111234303030704E-2</v>
      </c>
      <c r="AF494" s="32"/>
    </row>
    <row r="495" spans="29:32" x14ac:dyDescent="0.3">
      <c r="AC495" s="30">
        <v>530000.00002953096</v>
      </c>
      <c r="AD495" s="31">
        <f t="shared" si="102"/>
        <v>1.4608869171532335E-2</v>
      </c>
      <c r="AF495" s="32"/>
    </row>
    <row r="496" spans="29:32" x14ac:dyDescent="0.3">
      <c r="AC496" s="30">
        <v>540000.00003023399</v>
      </c>
      <c r="AD496" s="31">
        <f t="shared" si="102"/>
        <v>1.412421069077666E-2</v>
      </c>
      <c r="AF496" s="32"/>
    </row>
    <row r="497" spans="29:32" x14ac:dyDescent="0.3">
      <c r="AC497" s="30">
        <v>550000.00003093702</v>
      </c>
      <c r="AD497" s="31">
        <f t="shared" si="102"/>
        <v>1.3656567854836248E-2</v>
      </c>
      <c r="AF497" s="32"/>
    </row>
    <row r="498" spans="29:32" x14ac:dyDescent="0.3">
      <c r="AC498" s="30">
        <v>560000.00003164005</v>
      </c>
      <c r="AD498" s="31">
        <f t="shared" si="102"/>
        <v>1.3205281541320359E-2</v>
      </c>
      <c r="AF498" s="32"/>
    </row>
    <row r="499" spans="29:32" x14ac:dyDescent="0.3">
      <c r="AC499" s="30">
        <v>570000.00003234297</v>
      </c>
      <c r="AD499" s="31">
        <f t="shared" si="102"/>
        <v>1.2769722649685606E-2</v>
      </c>
      <c r="AF499" s="32"/>
    </row>
    <row r="500" spans="29:32" x14ac:dyDescent="0.3">
      <c r="AC500" s="30">
        <v>580000.000033046</v>
      </c>
      <c r="AD500" s="31">
        <f t="shared" si="102"/>
        <v>1.2349290380657544E-2</v>
      </c>
      <c r="AF500" s="32"/>
    </row>
    <row r="501" spans="29:32" x14ac:dyDescent="0.3">
      <c r="AC501" s="30">
        <v>590000.00003374903</v>
      </c>
      <c r="AD501" s="31">
        <f t="shared" si="102"/>
        <v>1.1943410643309489E-2</v>
      </c>
      <c r="AF501" s="32"/>
    </row>
    <row r="502" spans="29:32" x14ac:dyDescent="0.3">
      <c r="AC502" s="30">
        <v>600000.00003445195</v>
      </c>
      <c r="AD502" s="31">
        <f t="shared" si="102"/>
        <v>1.1551534577877096E-2</v>
      </c>
      <c r="AF502" s="32"/>
    </row>
    <row r="503" spans="29:32" x14ac:dyDescent="0.3">
      <c r="AC503" s="30">
        <v>610000.00003515498</v>
      </c>
      <c r="AD503" s="31">
        <f t="shared" si="102"/>
        <v>1.1173137183718786E-2</v>
      </c>
      <c r="AF503" s="32"/>
    </row>
    <row r="504" spans="29:32" x14ac:dyDescent="0.3">
      <c r="AC504" s="30">
        <v>620000.00003585801</v>
      </c>
      <c r="AD504" s="31">
        <f t="shared" si="102"/>
        <v>1.080771604299377E-2</v>
      </c>
      <c r="AF504" s="32"/>
    </row>
    <row r="505" spans="29:32" x14ac:dyDescent="0.3">
      <c r="AC505" s="30">
        <v>630000.00003656198</v>
      </c>
      <c r="AD505" s="31">
        <f t="shared" si="102"/>
        <v>1.0454790131643027E-2</v>
      </c>
      <c r="AF505" s="32"/>
    </row>
    <row r="506" spans="29:32" x14ac:dyDescent="0.3">
      <c r="AC506" s="30">
        <v>640000.00003726501</v>
      </c>
      <c r="AD506" s="31">
        <f t="shared" si="102"/>
        <v>1.0113898710149781E-2</v>
      </c>
      <c r="AF506" s="32"/>
    </row>
    <row r="507" spans="29:32" x14ac:dyDescent="0.3">
      <c r="AC507" s="30">
        <v>650000.00003796804</v>
      </c>
      <c r="AD507" s="31">
        <f t="shared" si="102"/>
        <v>9.784600287334402E-3</v>
      </c>
      <c r="AF507" s="32"/>
    </row>
    <row r="508" spans="29:32" x14ac:dyDescent="0.3">
      <c r="AC508" s="30">
        <v>660000.00003867096</v>
      </c>
      <c r="AD508" s="31">
        <f t="shared" si="102"/>
        <v>9.4664716511278103E-3</v>
      </c>
      <c r="AF508" s="32"/>
    </row>
    <row r="509" spans="29:32" x14ac:dyDescent="0.3">
      <c r="AC509" s="30">
        <v>670000.00003937399</v>
      </c>
      <c r="AD509" s="31">
        <f t="shared" si="102"/>
        <v>9.1591069608734973E-3</v>
      </c>
      <c r="AF509" s="32"/>
    </row>
    <row r="510" spans="29:32" x14ac:dyDescent="0.3">
      <c r="AC510" s="30">
        <v>680000.00004007702</v>
      </c>
      <c r="AD510" s="31">
        <f t="shared" si="102"/>
        <v>8.8621168962435999E-3</v>
      </c>
      <c r="AF510" s="32"/>
    </row>
    <row r="511" spans="29:32" x14ac:dyDescent="0.3">
      <c r="AC511" s="30">
        <v>690000.00004078005</v>
      </c>
      <c r="AD511" s="31">
        <f t="shared" si="102"/>
        <v>8.5751278583302195E-3</v>
      </c>
      <c r="AF511" s="32"/>
    </row>
    <row r="512" spans="29:32" x14ac:dyDescent="0.3">
      <c r="AC512" s="30">
        <v>700000.00004148297</v>
      </c>
      <c r="AD512" s="31">
        <f t="shared" si="102"/>
        <v>8.2977812188953608E-3</v>
      </c>
      <c r="AF512" s="32"/>
    </row>
    <row r="513" spans="29:32" x14ac:dyDescent="0.3">
      <c r="AC513" s="30">
        <v>710000.000042186</v>
      </c>
      <c r="AD513" s="31">
        <f t="shared" si="102"/>
        <v>8.0297326141365033E-3</v>
      </c>
      <c r="AF513" s="32"/>
    </row>
    <row r="514" spans="29:32" x14ac:dyDescent="0.3">
      <c r="AC514" s="30">
        <v>720000.00004288997</v>
      </c>
      <c r="AD514" s="31">
        <f t="shared" si="102"/>
        <v>7.7706512796613123E-3</v>
      </c>
      <c r="AF514" s="32"/>
    </row>
    <row r="515" spans="29:32" x14ac:dyDescent="0.3">
      <c r="AC515" s="30">
        <v>730000.000043593</v>
      </c>
      <c r="AD515" s="31">
        <f t="shared" ref="AD515:AD578" si="103">(((EXP(-0.000003*AC515))*(((AC515^0.2)+1)/(AC515^0.2) - 1)))^(1)</f>
        <v>7.5202194236618719E-3</v>
      </c>
      <c r="AF515" s="32"/>
    </row>
    <row r="516" spans="29:32" x14ac:dyDescent="0.3">
      <c r="AC516" s="30">
        <v>740000.00004429603</v>
      </c>
      <c r="AD516" s="31">
        <f t="shared" si="103"/>
        <v>7.2781316355470024E-3</v>
      </c>
      <c r="AF516" s="32"/>
    </row>
    <row r="517" spans="29:32" x14ac:dyDescent="0.3">
      <c r="AC517" s="30">
        <v>750000.00004499895</v>
      </c>
      <c r="AD517" s="31">
        <f t="shared" si="103"/>
        <v>7.0440943275306995E-3</v>
      </c>
      <c r="AF517" s="32"/>
    </row>
    <row r="518" spans="29:32" x14ac:dyDescent="0.3">
      <c r="AC518" s="30">
        <v>760000.00004570198</v>
      </c>
      <c r="AD518" s="31">
        <f t="shared" si="103"/>
        <v>6.8178252068891764E-3</v>
      </c>
      <c r="AF518" s="32"/>
    </row>
    <row r="519" spans="29:32" x14ac:dyDescent="0.3">
      <c r="AC519" s="30">
        <v>770000.00004640501</v>
      </c>
      <c r="AD519" s="31">
        <f t="shared" si="103"/>
        <v>6.5990527767932003E-3</v>
      </c>
      <c r="AF519" s="32"/>
    </row>
    <row r="520" spans="29:32" x14ac:dyDescent="0.3">
      <c r="AC520" s="30">
        <v>780000.00004710804</v>
      </c>
      <c r="AD520" s="31">
        <f t="shared" si="103"/>
        <v>6.3875158637959487E-3</v>
      </c>
      <c r="AF520" s="32"/>
    </row>
    <row r="521" spans="29:32" x14ac:dyDescent="0.3">
      <c r="AC521" s="30">
        <v>790000.00004781096</v>
      </c>
      <c r="AD521" s="31">
        <f t="shared" si="103"/>
        <v>6.1829631702139953E-3</v>
      </c>
      <c r="AF521" s="32"/>
    </row>
    <row r="522" spans="29:32" x14ac:dyDescent="0.3">
      <c r="AC522" s="30">
        <v>800000.00004851399</v>
      </c>
      <c r="AD522" s="31">
        <f t="shared" si="103"/>
        <v>5.9851528497816076E-3</v>
      </c>
      <c r="AF522" s="32"/>
    </row>
    <row r="523" spans="29:32" x14ac:dyDescent="0.3">
      <c r="AC523" s="30">
        <v>810000.00004921702</v>
      </c>
      <c r="AD523" s="31">
        <f t="shared" si="103"/>
        <v>5.7938521050863298E-3</v>
      </c>
      <c r="AF523" s="32"/>
    </row>
    <row r="524" spans="29:32" x14ac:dyDescent="0.3">
      <c r="AC524" s="30">
        <v>820000.00004992099</v>
      </c>
      <c r="AD524" s="31">
        <f t="shared" si="103"/>
        <v>5.6088368054112506E-3</v>
      </c>
      <c r="AF524" s="32"/>
    </row>
    <row r="525" spans="29:32" x14ac:dyDescent="0.3">
      <c r="AC525" s="30">
        <v>830000.00005062402</v>
      </c>
      <c r="AD525" s="31">
        <f t="shared" si="103"/>
        <v>5.4298911237144675E-3</v>
      </c>
      <c r="AF525" s="32"/>
    </row>
    <row r="526" spans="29:32" x14ac:dyDescent="0.3">
      <c r="AC526" s="30">
        <v>840000.00005132705</v>
      </c>
      <c r="AD526" s="31">
        <f t="shared" si="103"/>
        <v>5.2568071915728527E-3</v>
      </c>
      <c r="AF526" s="32"/>
    </row>
    <row r="527" spans="29:32" x14ac:dyDescent="0.3">
      <c r="AC527" s="30">
        <v>850000.00005202997</v>
      </c>
      <c r="AD527" s="31">
        <f t="shared" si="103"/>
        <v>5.089384771004994E-3</v>
      </c>
      <c r="AF527" s="32"/>
    </row>
    <row r="528" spans="29:32" x14ac:dyDescent="0.3">
      <c r="AC528" s="30">
        <v>860000.000052733</v>
      </c>
      <c r="AD528" s="31">
        <f t="shared" si="103"/>
        <v>4.9274309421676304E-3</v>
      </c>
      <c r="AF528" s="32"/>
    </row>
    <row r="529" spans="29:32" x14ac:dyDescent="0.3">
      <c r="AC529" s="30">
        <v>870000.00005343603</v>
      </c>
      <c r="AD529" s="31">
        <f t="shared" si="103"/>
        <v>4.7707598059933227E-3</v>
      </c>
      <c r="AF529" s="32"/>
    </row>
    <row r="530" spans="29:32" x14ac:dyDescent="0.3">
      <c r="AC530" s="30">
        <v>880000.00005413895</v>
      </c>
      <c r="AD530" s="31">
        <f t="shared" si="103"/>
        <v>4.6191922009031173E-3</v>
      </c>
      <c r="AF530" s="32"/>
    </row>
    <row r="531" spans="29:32" x14ac:dyDescent="0.3">
      <c r="AC531" s="30">
        <v>890000.00005484198</v>
      </c>
      <c r="AD531" s="31">
        <f t="shared" si="103"/>
        <v>4.472555432789775E-3</v>
      </c>
      <c r="AF531" s="32"/>
    </row>
    <row r="532" spans="29:32" x14ac:dyDescent="0.3">
      <c r="AC532" s="30">
        <v>900000.00005554501</v>
      </c>
      <c r="AD532" s="31">
        <f t="shared" si="103"/>
        <v>4.3306830175221401E-3</v>
      </c>
      <c r="AF532" s="32"/>
    </row>
    <row r="533" spans="29:32" x14ac:dyDescent="0.3">
      <c r="AC533" s="30">
        <v>910000.00005624897</v>
      </c>
      <c r="AD533" s="31">
        <f t="shared" si="103"/>
        <v>4.193414435273538E-3</v>
      </c>
      <c r="AF533" s="32"/>
    </row>
    <row r="534" spans="29:32" x14ac:dyDescent="0.3">
      <c r="AC534" s="30">
        <v>920000.00005695201</v>
      </c>
      <c r="AD534" s="31">
        <f t="shared" si="103"/>
        <v>4.0605948960233135E-3</v>
      </c>
      <c r="AF534" s="32"/>
    </row>
    <row r="535" spans="29:32" x14ac:dyDescent="0.3">
      <c r="AC535" s="30">
        <v>930000.00005765504</v>
      </c>
      <c r="AD535" s="31">
        <f t="shared" si="103"/>
        <v>3.9320751156243072E-3</v>
      </c>
      <c r="AF535" s="32"/>
    </row>
    <row r="536" spans="29:32" x14ac:dyDescent="0.3">
      <c r="AC536" s="30">
        <v>940000.00005835795</v>
      </c>
      <c r="AD536" s="31">
        <f t="shared" si="103"/>
        <v>3.8077111018693689E-3</v>
      </c>
      <c r="AF536" s="32"/>
    </row>
    <row r="537" spans="29:32" x14ac:dyDescent="0.3">
      <c r="AC537" s="30">
        <v>950000.00005906099</v>
      </c>
      <c r="AD537" s="31">
        <f t="shared" si="103"/>
        <v>3.6873639500262729E-3</v>
      </c>
      <c r="AF537" s="32"/>
    </row>
    <row r="538" spans="29:32" x14ac:dyDescent="0.3">
      <c r="AC538" s="30">
        <v>960000.00005976402</v>
      </c>
      <c r="AD538" s="31">
        <f t="shared" si="103"/>
        <v>3.5708996473442973E-3</v>
      </c>
      <c r="AF538" s="32"/>
    </row>
    <row r="539" spans="29:32" x14ac:dyDescent="0.3">
      <c r="AC539" s="30">
        <v>970000.00006046705</v>
      </c>
      <c r="AD539" s="31">
        <f t="shared" si="103"/>
        <v>3.4581888860678398E-3</v>
      </c>
      <c r="AF539" s="32"/>
    </row>
    <row r="540" spans="29:32" x14ac:dyDescent="0.3">
      <c r="AC540" s="30">
        <v>980000.00006116997</v>
      </c>
      <c r="AD540" s="31">
        <f t="shared" si="103"/>
        <v>3.3491068845205693E-3</v>
      </c>
      <c r="AF540" s="32"/>
    </row>
    <row r="541" spans="29:32" x14ac:dyDescent="0.3">
      <c r="AC541" s="30">
        <v>990000.000061873</v>
      </c>
      <c r="AD541" s="31">
        <f t="shared" si="103"/>
        <v>3.2435332158509836E-3</v>
      </c>
      <c r="AF541" s="32"/>
    </row>
    <row r="542" spans="29:32" x14ac:dyDescent="0.3">
      <c r="AC542" s="30">
        <v>1000000.00006258</v>
      </c>
      <c r="AD542" s="31">
        <f t="shared" si="103"/>
        <v>3.1413516440550616E-3</v>
      </c>
      <c r="AF542" s="32"/>
    </row>
    <row r="543" spans="29:32" x14ac:dyDescent="0.3">
      <c r="AC543" s="30">
        <v>1100000</v>
      </c>
      <c r="AD543" s="31">
        <f t="shared" si="103"/>
        <v>2.2832300555302226E-3</v>
      </c>
      <c r="AF543" s="32"/>
    </row>
    <row r="544" spans="29:32" x14ac:dyDescent="0.3">
      <c r="AC544" s="30">
        <v>1200000</v>
      </c>
      <c r="AD544" s="31">
        <f t="shared" si="103"/>
        <v>1.6622778424719761E-3</v>
      </c>
      <c r="AF544" s="32"/>
    </row>
    <row r="545" spans="29:32" x14ac:dyDescent="0.3">
      <c r="AC545" s="30">
        <v>1300000</v>
      </c>
      <c r="AD545" s="31">
        <f t="shared" si="103"/>
        <v>1.2118890184221211E-3</v>
      </c>
      <c r="AF545" s="32"/>
    </row>
    <row r="546" spans="29:32" x14ac:dyDescent="0.3">
      <c r="AC546" s="30">
        <v>1400000</v>
      </c>
      <c r="AD546" s="31">
        <f t="shared" si="103"/>
        <v>8.8458092257973216E-4</v>
      </c>
      <c r="AF546" s="32"/>
    </row>
    <row r="547" spans="29:32" x14ac:dyDescent="0.3">
      <c r="AC547" s="30">
        <v>1500000</v>
      </c>
      <c r="AD547" s="31">
        <f t="shared" si="103"/>
        <v>6.4633337093393365E-4</v>
      </c>
      <c r="AF547" s="32"/>
    </row>
    <row r="548" spans="29:32" x14ac:dyDescent="0.3">
      <c r="AC548" s="30">
        <v>1600000</v>
      </c>
      <c r="AD548" s="31">
        <f t="shared" si="103"/>
        <v>4.7267484486254979E-4</v>
      </c>
      <c r="AF548" s="32"/>
    </row>
    <row r="549" spans="29:32" x14ac:dyDescent="0.3">
      <c r="AC549" s="30">
        <v>1700000</v>
      </c>
      <c r="AD549" s="31">
        <f t="shared" si="103"/>
        <v>3.4594603550980638E-4</v>
      </c>
      <c r="AF549" s="32"/>
    </row>
    <row r="550" spans="29:32" x14ac:dyDescent="0.3">
      <c r="AC550" s="30">
        <v>1800000</v>
      </c>
      <c r="AD550" s="31">
        <f t="shared" si="103"/>
        <v>2.5337006141942661E-4</v>
      </c>
      <c r="AF550" s="32"/>
    </row>
    <row r="551" spans="29:32" x14ac:dyDescent="0.3">
      <c r="AC551" s="30">
        <v>1900000</v>
      </c>
      <c r="AD551" s="31">
        <f t="shared" si="103"/>
        <v>1.8568239661893304E-4</v>
      </c>
      <c r="AF551" s="32"/>
    </row>
    <row r="552" spans="29:32" x14ac:dyDescent="0.3">
      <c r="AC552" s="30">
        <v>2000000</v>
      </c>
      <c r="AD552" s="31">
        <f t="shared" si="103"/>
        <v>1.361529668959908E-4</v>
      </c>
      <c r="AF552" s="32"/>
    </row>
    <row r="553" spans="29:32" x14ac:dyDescent="0.3">
      <c r="AC553" s="30">
        <v>2100000</v>
      </c>
      <c r="AD553" s="31">
        <f t="shared" si="103"/>
        <v>9.9885145152472924E-5</v>
      </c>
      <c r="AF553" s="32"/>
    </row>
    <row r="554" spans="29:32" x14ac:dyDescent="0.3">
      <c r="AC554" s="30">
        <v>2200000</v>
      </c>
      <c r="AD554" s="31">
        <f t="shared" si="103"/>
        <v>7.3311462480401133E-5</v>
      </c>
      <c r="AF554" s="32"/>
    </row>
    <row r="555" spans="29:32" x14ac:dyDescent="0.3">
      <c r="AC555" s="30">
        <v>2300000</v>
      </c>
      <c r="AD555" s="31">
        <f t="shared" si="103"/>
        <v>5.3829767950756984E-5</v>
      </c>
      <c r="AF555" s="32"/>
    </row>
    <row r="556" spans="29:32" x14ac:dyDescent="0.3">
      <c r="AC556" s="30">
        <v>2400000</v>
      </c>
      <c r="AD556" s="31">
        <f t="shared" si="103"/>
        <v>3.9540074381063962E-5</v>
      </c>
      <c r="AF556" s="32"/>
    </row>
    <row r="557" spans="29:32" x14ac:dyDescent="0.3">
      <c r="AC557" s="30">
        <v>2500000</v>
      </c>
      <c r="AD557" s="31">
        <f t="shared" si="103"/>
        <v>2.9053829527488591E-5</v>
      </c>
      <c r="AF557" s="32"/>
    </row>
    <row r="558" spans="29:32" x14ac:dyDescent="0.3">
      <c r="AC558" s="30">
        <v>2600000</v>
      </c>
      <c r="AD558" s="31">
        <f t="shared" si="103"/>
        <v>2.1355432508743102E-5</v>
      </c>
      <c r="AF558" s="32"/>
    </row>
    <row r="559" spans="29:32" x14ac:dyDescent="0.3">
      <c r="AC559" s="30">
        <v>2700000</v>
      </c>
      <c r="AD559" s="31">
        <f t="shared" si="103"/>
        <v>1.5701528931259117E-5</v>
      </c>
      <c r="AF559" s="32"/>
    </row>
    <row r="560" spans="29:32" x14ac:dyDescent="0.3">
      <c r="AC560" s="30">
        <v>2800000</v>
      </c>
      <c r="AD560" s="31">
        <f t="shared" si="103"/>
        <v>1.1547680137931125E-5</v>
      </c>
      <c r="AF560" s="32"/>
    </row>
    <row r="561" spans="29:32" x14ac:dyDescent="0.3">
      <c r="AC561" s="30">
        <v>2900000</v>
      </c>
      <c r="AD561" s="31">
        <f t="shared" si="103"/>
        <v>8.4949026805550346E-6</v>
      </c>
      <c r="AF561" s="32"/>
    </row>
    <row r="562" spans="29:32" x14ac:dyDescent="0.3">
      <c r="AC562" s="30">
        <v>3000000</v>
      </c>
      <c r="AD562" s="31">
        <f t="shared" si="103"/>
        <v>6.2506533147025249E-6</v>
      </c>
      <c r="AF562" s="32"/>
    </row>
    <row r="563" spans="29:32" x14ac:dyDescent="0.3">
      <c r="AC563" s="30">
        <v>3100000</v>
      </c>
      <c r="AD563" s="31">
        <f t="shared" si="103"/>
        <v>4.6003299264906016E-6</v>
      </c>
      <c r="AF563" s="32"/>
    </row>
    <row r="564" spans="29:32" x14ac:dyDescent="0.3">
      <c r="AC564" s="30">
        <v>3200000</v>
      </c>
      <c r="AD564" s="31">
        <f t="shared" si="103"/>
        <v>3.3864368245426979E-6</v>
      </c>
      <c r="AF564" s="32"/>
    </row>
    <row r="565" spans="29:32" x14ac:dyDescent="0.3">
      <c r="AC565" s="30">
        <v>3300000</v>
      </c>
      <c r="AD565" s="31">
        <f t="shared" si="103"/>
        <v>2.4933419337490862E-6</v>
      </c>
      <c r="AF565" s="32"/>
    </row>
    <row r="566" spans="29:32" x14ac:dyDescent="0.3">
      <c r="AC566" s="30">
        <v>3400000</v>
      </c>
      <c r="AD566" s="31">
        <f t="shared" si="103"/>
        <v>1.836117632338394E-6</v>
      </c>
      <c r="AF566" s="32"/>
    </row>
    <row r="567" spans="29:32" x14ac:dyDescent="0.3">
      <c r="AC567" s="30">
        <v>3500000</v>
      </c>
      <c r="AD567" s="31">
        <f t="shared" si="103"/>
        <v>1.3523662726745533E-6</v>
      </c>
      <c r="AF567" s="32"/>
    </row>
    <row r="568" spans="29:32" x14ac:dyDescent="0.3">
      <c r="AC568" s="30">
        <v>3600000</v>
      </c>
      <c r="AD568" s="31">
        <f t="shared" si="103"/>
        <v>9.9622880615906747E-7</v>
      </c>
      <c r="AF568" s="32"/>
    </row>
    <row r="569" spans="29:32" x14ac:dyDescent="0.3">
      <c r="AC569" s="30">
        <v>3700000</v>
      </c>
      <c r="AD569" s="31">
        <f t="shared" si="103"/>
        <v>7.3399128953349262E-7</v>
      </c>
      <c r="AF569" s="32"/>
    </row>
    <row r="570" spans="29:32" x14ac:dyDescent="0.3">
      <c r="AC570" s="30">
        <v>3800000</v>
      </c>
      <c r="AD570" s="31">
        <f t="shared" si="103"/>
        <v>5.4086164783359147E-7</v>
      </c>
      <c r="AF570" s="32"/>
    </row>
    <row r="571" spans="29:32" x14ac:dyDescent="0.3">
      <c r="AC571" s="30">
        <v>3900000</v>
      </c>
      <c r="AD571" s="31">
        <f t="shared" si="103"/>
        <v>3.9860398878932676E-7</v>
      </c>
      <c r="AF571" s="32"/>
    </row>
    <row r="572" spans="29:32" x14ac:dyDescent="0.3">
      <c r="AC572" s="30">
        <v>4000000</v>
      </c>
      <c r="AD572" s="31">
        <f t="shared" si="103"/>
        <v>2.9380164216731344E-7</v>
      </c>
      <c r="AF572" s="32"/>
    </row>
    <row r="573" spans="29:32" x14ac:dyDescent="0.3">
      <c r="AC573" s="30">
        <v>4100000</v>
      </c>
      <c r="AD573" s="31">
        <f t="shared" si="103"/>
        <v>2.1658137234430105E-7</v>
      </c>
      <c r="AF573" s="32"/>
    </row>
    <row r="574" spans="29:32" x14ac:dyDescent="0.3">
      <c r="AC574" s="30">
        <v>4200000</v>
      </c>
      <c r="AD574" s="31">
        <f t="shared" si="103"/>
        <v>1.5967600928460004E-7</v>
      </c>
      <c r="AF574" s="32"/>
    </row>
    <row r="575" spans="29:32" x14ac:dyDescent="0.3">
      <c r="AC575" s="30">
        <v>4300000</v>
      </c>
      <c r="AD575" s="31">
        <f t="shared" si="103"/>
        <v>1.1773551621810005E-7</v>
      </c>
      <c r="AF575" s="32"/>
    </row>
    <row r="576" spans="29:32" x14ac:dyDescent="0.3">
      <c r="AC576" s="30">
        <v>4400000</v>
      </c>
      <c r="AD576" s="31">
        <f t="shared" si="103"/>
        <v>8.6820504191012621E-8</v>
      </c>
      <c r="AF576" s="32"/>
    </row>
    <row r="577" spans="29:32" x14ac:dyDescent="0.3">
      <c r="AC577" s="30">
        <v>4500000</v>
      </c>
      <c r="AD577" s="31">
        <f t="shared" si="103"/>
        <v>6.4029777333986875E-8</v>
      </c>
      <c r="AF577" s="32"/>
    </row>
    <row r="578" spans="29:32" x14ac:dyDescent="0.3">
      <c r="AC578" s="30">
        <v>4600000</v>
      </c>
      <c r="AD578" s="31">
        <f t="shared" si="103"/>
        <v>4.7226371966011461E-8</v>
      </c>
      <c r="AF578" s="32"/>
    </row>
    <row r="579" spans="29:32" x14ac:dyDescent="0.3">
      <c r="AC579" s="30">
        <v>4700000</v>
      </c>
      <c r="AD579" s="31">
        <f t="shared" ref="AD579:AD632" si="104">(((EXP(-0.000003*AC579))*(((AC579^0.2)+1)/(AC579^0.2) - 1)))^(1)</f>
        <v>3.4835996125535524E-8</v>
      </c>
      <c r="AF579" s="32"/>
    </row>
    <row r="580" spans="29:32" x14ac:dyDescent="0.3">
      <c r="AC580" s="30">
        <v>4800000</v>
      </c>
      <c r="AD580" s="31">
        <f t="shared" si="104"/>
        <v>2.5698703464354545E-8</v>
      </c>
      <c r="AF580" s="32"/>
    </row>
    <row r="581" spans="29:32" x14ac:dyDescent="0.3">
      <c r="AC581" s="30">
        <v>4900000</v>
      </c>
      <c r="AD581" s="31">
        <f t="shared" si="104"/>
        <v>1.8959719157143768E-8</v>
      </c>
      <c r="AF581" s="32"/>
    </row>
    <row r="582" spans="29:32" x14ac:dyDescent="0.3">
      <c r="AC582" s="30">
        <v>5000000</v>
      </c>
      <c r="AD582" s="31">
        <f t="shared" si="104"/>
        <v>1.3989067656177692E-8</v>
      </c>
      <c r="AF582" s="32"/>
    </row>
    <row r="583" spans="29:32" x14ac:dyDescent="0.3">
      <c r="AC583" s="30">
        <v>5100000</v>
      </c>
      <c r="AD583" s="31">
        <f t="shared" si="104"/>
        <v>1.032239304530599E-8</v>
      </c>
      <c r="AF583" s="32"/>
    </row>
    <row r="584" spans="29:32" x14ac:dyDescent="0.3">
      <c r="AC584" s="30">
        <v>5200000</v>
      </c>
      <c r="AD584" s="31">
        <f t="shared" si="104"/>
        <v>7.6173763564732174E-9</v>
      </c>
      <c r="AF584" s="32"/>
    </row>
    <row r="585" spans="29:32" x14ac:dyDescent="0.3">
      <c r="AC585" s="30">
        <v>5300000</v>
      </c>
      <c r="AD585" s="31">
        <f t="shared" si="104"/>
        <v>5.6216339565121222E-9</v>
      </c>
      <c r="AF585" s="32"/>
    </row>
    <row r="586" spans="29:32" x14ac:dyDescent="0.3">
      <c r="AC586" s="30">
        <v>5400000</v>
      </c>
      <c r="AD586" s="31">
        <f t="shared" si="104"/>
        <v>4.1490688461263364E-9</v>
      </c>
      <c r="AF586" s="32"/>
    </row>
    <row r="587" spans="29:32" x14ac:dyDescent="0.3">
      <c r="AC587" s="30">
        <v>5500000</v>
      </c>
      <c r="AD587" s="31">
        <f t="shared" si="104"/>
        <v>3.0624465017620494E-9</v>
      </c>
      <c r="AF587" s="32"/>
    </row>
    <row r="588" spans="29:32" x14ac:dyDescent="0.3">
      <c r="AC588" s="30">
        <v>5600000</v>
      </c>
      <c r="AD588" s="31">
        <f t="shared" si="104"/>
        <v>2.2605551072600856E-9</v>
      </c>
      <c r="AF588" s="32"/>
    </row>
    <row r="589" spans="29:32" x14ac:dyDescent="0.3">
      <c r="AC589" s="30">
        <v>5700000</v>
      </c>
      <c r="AD589" s="31">
        <f t="shared" si="104"/>
        <v>1.6687427363125651E-9</v>
      </c>
      <c r="AF589" s="32"/>
    </row>
    <row r="590" spans="29:32" x14ac:dyDescent="0.3">
      <c r="AC590" s="30">
        <v>5800000</v>
      </c>
      <c r="AD590" s="31">
        <f t="shared" si="104"/>
        <v>1.231942438278264E-9</v>
      </c>
      <c r="AF590" s="32"/>
    </row>
    <row r="591" spans="29:32" x14ac:dyDescent="0.3">
      <c r="AC591" s="30">
        <v>5900000</v>
      </c>
      <c r="AD591" s="31">
        <f t="shared" si="104"/>
        <v>9.0953050168097133E-10</v>
      </c>
      <c r="AF591" s="32"/>
    </row>
    <row r="592" spans="29:32" x14ac:dyDescent="0.3">
      <c r="AC592" s="30">
        <v>6000000</v>
      </c>
      <c r="AD592" s="31">
        <f t="shared" si="104"/>
        <v>6.7153565392124369E-10</v>
      </c>
      <c r="AF592" s="32"/>
    </row>
    <row r="593" spans="29:32" x14ac:dyDescent="0.3">
      <c r="AC593" s="30">
        <v>6100000</v>
      </c>
      <c r="AD593" s="31">
        <f t="shared" si="104"/>
        <v>4.9584394494868131E-10</v>
      </c>
      <c r="AF593" s="32"/>
    </row>
    <row r="594" spans="29:32" x14ac:dyDescent="0.3">
      <c r="AC594" s="30">
        <v>6200000</v>
      </c>
      <c r="AD594" s="31">
        <f t="shared" si="104"/>
        <v>3.6613757323307975E-10</v>
      </c>
      <c r="AF594" s="32"/>
    </row>
    <row r="595" spans="29:32" x14ac:dyDescent="0.3">
      <c r="AC595" s="30">
        <v>6300000</v>
      </c>
      <c r="AD595" s="31">
        <f t="shared" si="104"/>
        <v>2.7037478191100855E-10</v>
      </c>
      <c r="AF595" s="32"/>
    </row>
    <row r="596" spans="29:32" x14ac:dyDescent="0.3">
      <c r="AC596" s="30">
        <v>6400000</v>
      </c>
      <c r="AD596" s="31">
        <f t="shared" si="104"/>
        <v>1.9966868267428501E-10</v>
      </c>
      <c r="AF596" s="32"/>
    </row>
    <row r="597" spans="29:32" x14ac:dyDescent="0.3">
      <c r="AC597" s="30">
        <v>6500000</v>
      </c>
      <c r="AD597" s="31">
        <f t="shared" si="104"/>
        <v>1.4746023835363266E-10</v>
      </c>
      <c r="AF597" s="32"/>
    </row>
    <row r="598" spans="29:32" x14ac:dyDescent="0.3">
      <c r="AC598" s="30">
        <v>6600000</v>
      </c>
      <c r="AD598" s="31">
        <f t="shared" si="104"/>
        <v>1.0890817266253712E-10</v>
      </c>
      <c r="AF598" s="32"/>
    </row>
    <row r="599" spans="29:32" x14ac:dyDescent="0.3">
      <c r="AC599" s="30">
        <v>6700000</v>
      </c>
      <c r="AD599" s="31">
        <f t="shared" si="104"/>
        <v>8.0438868551132763E-11</v>
      </c>
      <c r="AF599" s="32"/>
    </row>
    <row r="600" spans="29:32" x14ac:dyDescent="0.3">
      <c r="AC600" s="30">
        <v>6800000</v>
      </c>
      <c r="AD600" s="31">
        <f t="shared" si="104"/>
        <v>5.9414272893024605E-11</v>
      </c>
      <c r="AF600" s="32"/>
    </row>
    <row r="601" spans="29:32" x14ac:dyDescent="0.3">
      <c r="AC601" s="30">
        <v>6900000</v>
      </c>
      <c r="AD601" s="31">
        <f t="shared" si="104"/>
        <v>4.3886849614912561E-11</v>
      </c>
      <c r="AF601" s="32"/>
    </row>
    <row r="602" spans="29:32" x14ac:dyDescent="0.3">
      <c r="AC602" s="30">
        <v>7000000</v>
      </c>
      <c r="AD602" s="31">
        <f t="shared" si="104"/>
        <v>3.2418750499477579E-11</v>
      </c>
      <c r="AF602" s="32"/>
    </row>
    <row r="603" spans="29:32" x14ac:dyDescent="0.3">
      <c r="AC603" s="30">
        <v>7100000</v>
      </c>
      <c r="AD603" s="31">
        <f t="shared" si="104"/>
        <v>2.3948364837702105E-11</v>
      </c>
      <c r="AF603" s="32"/>
    </row>
    <row r="604" spans="29:32" x14ac:dyDescent="0.3">
      <c r="AC604" s="30">
        <v>7200000</v>
      </c>
      <c r="AD604" s="31">
        <f t="shared" si="104"/>
        <v>1.7691827311445999E-11</v>
      </c>
      <c r="AF604" s="32"/>
    </row>
    <row r="605" spans="29:32" x14ac:dyDescent="0.3">
      <c r="AC605" s="30">
        <v>7300000</v>
      </c>
      <c r="AD605" s="31">
        <f t="shared" si="104"/>
        <v>1.3070321618344845E-11</v>
      </c>
      <c r="AF605" s="32"/>
    </row>
    <row r="606" spans="29:32" x14ac:dyDescent="0.3">
      <c r="AC606" s="30">
        <v>7400000</v>
      </c>
      <c r="AD606" s="31">
        <f t="shared" si="104"/>
        <v>9.6564202430774518E-12</v>
      </c>
      <c r="AF606" s="32"/>
    </row>
    <row r="607" spans="29:32" x14ac:dyDescent="0.3">
      <c r="AC607" s="30">
        <v>7500000</v>
      </c>
      <c r="AD607" s="31">
        <f t="shared" si="104"/>
        <v>7.1344730947007661E-12</v>
      </c>
      <c r="AF607" s="32"/>
    </row>
    <row r="608" spans="29:32" x14ac:dyDescent="0.3">
      <c r="AC608" s="30">
        <v>7600000</v>
      </c>
      <c r="AD608" s="31">
        <f t="shared" si="104"/>
        <v>5.2713650663105092E-12</v>
      </c>
      <c r="AF608" s="32"/>
    </row>
    <row r="609" spans="29:32" x14ac:dyDescent="0.3">
      <c r="AC609" s="30">
        <v>7700000</v>
      </c>
      <c r="AD609" s="31">
        <f t="shared" si="104"/>
        <v>3.8949270054278967E-12</v>
      </c>
      <c r="AF609" s="32"/>
    </row>
    <row r="610" spans="29:32" x14ac:dyDescent="0.3">
      <c r="AC610" s="30">
        <v>7800000</v>
      </c>
      <c r="AD610" s="31">
        <f t="shared" si="104"/>
        <v>2.8779961122028178E-12</v>
      </c>
      <c r="AF610" s="32"/>
    </row>
    <row r="611" spans="29:32" x14ac:dyDescent="0.3">
      <c r="AC611" s="30">
        <v>7900000</v>
      </c>
      <c r="AD611" s="31">
        <f t="shared" si="104"/>
        <v>2.12664676914009E-12</v>
      </c>
      <c r="AF611" s="32"/>
    </row>
    <row r="612" spans="29:32" x14ac:dyDescent="0.3">
      <c r="AC612" s="30">
        <v>8000000</v>
      </c>
      <c r="AD612" s="31">
        <f t="shared" si="104"/>
        <v>1.5715001866065828E-12</v>
      </c>
      <c r="AF612" s="32"/>
    </row>
    <row r="613" spans="29:32" x14ac:dyDescent="0.3">
      <c r="AC613" s="30">
        <v>8100000</v>
      </c>
      <c r="AD613" s="31">
        <f t="shared" si="104"/>
        <v>1.1613071126712401E-12</v>
      </c>
      <c r="AF613" s="32"/>
    </row>
    <row r="614" spans="29:32" x14ac:dyDescent="0.3">
      <c r="AC614" s="30">
        <v>8200000</v>
      </c>
      <c r="AD614" s="31">
        <f t="shared" si="104"/>
        <v>8.5820882226098685E-13</v>
      </c>
      <c r="AF614" s="32"/>
    </row>
    <row r="615" spans="29:32" x14ac:dyDescent="0.3">
      <c r="AC615" s="30">
        <v>8300000</v>
      </c>
      <c r="AD615" s="31">
        <f t="shared" si="104"/>
        <v>6.3423730363315526E-13</v>
      </c>
      <c r="AF615" s="32"/>
    </row>
    <row r="616" spans="29:32" x14ac:dyDescent="0.3">
      <c r="AC616" s="30">
        <v>8400000</v>
      </c>
      <c r="AD616" s="31">
        <f t="shared" si="104"/>
        <v>4.6873048393597938E-13</v>
      </c>
      <c r="AF616" s="32"/>
    </row>
    <row r="617" spans="29:32" x14ac:dyDescent="0.3">
      <c r="AC617" s="30">
        <v>8500000</v>
      </c>
      <c r="AD617" s="31">
        <f t="shared" si="104"/>
        <v>3.4642316590404266E-13</v>
      </c>
      <c r="AF617" s="32"/>
    </row>
    <row r="618" spans="29:32" x14ac:dyDescent="0.3">
      <c r="AC618" s="30">
        <v>8600000</v>
      </c>
      <c r="AD618" s="31">
        <f t="shared" si="104"/>
        <v>2.5603696860474797E-13</v>
      </c>
      <c r="AF618" s="32"/>
    </row>
    <row r="619" spans="29:32" x14ac:dyDescent="0.3">
      <c r="AC619" s="30">
        <v>8700000</v>
      </c>
      <c r="AD619" s="31">
        <f t="shared" si="104"/>
        <v>1.8923879405732799E-13</v>
      </c>
      <c r="AF619" s="32"/>
    </row>
    <row r="620" spans="29:32" x14ac:dyDescent="0.3">
      <c r="AC620" s="30">
        <v>8800000</v>
      </c>
      <c r="AD620" s="31">
        <f t="shared" si="104"/>
        <v>1.398714713324087E-13</v>
      </c>
      <c r="AF620" s="32"/>
    </row>
    <row r="621" spans="29:32" x14ac:dyDescent="0.3">
      <c r="AC621" s="30">
        <v>8900000</v>
      </c>
      <c r="AD621" s="31">
        <f t="shared" si="104"/>
        <v>1.0338542844047345E-13</v>
      </c>
      <c r="AF621" s="32"/>
    </row>
    <row r="622" spans="29:32" x14ac:dyDescent="0.3">
      <c r="AC622" s="30">
        <v>9000000</v>
      </c>
      <c r="AD622" s="31">
        <f t="shared" si="104"/>
        <v>7.6418848040750898E-14</v>
      </c>
      <c r="AF622" s="32"/>
    </row>
    <row r="623" spans="29:32" x14ac:dyDescent="0.3">
      <c r="AC623" s="30">
        <v>9100000</v>
      </c>
      <c r="AD623" s="31">
        <f t="shared" si="104"/>
        <v>5.6487501461663322E-14</v>
      </c>
      <c r="AF623" s="32"/>
    </row>
    <row r="624" spans="29:32" x14ac:dyDescent="0.3">
      <c r="AC624" s="30">
        <v>9200000</v>
      </c>
      <c r="AD624" s="31">
        <f t="shared" si="104"/>
        <v>4.1755600520621276E-14</v>
      </c>
      <c r="AF624" s="32"/>
    </row>
    <row r="625" spans="29:32" x14ac:dyDescent="0.3">
      <c r="AC625" s="30">
        <v>9300000</v>
      </c>
      <c r="AD625" s="31">
        <f t="shared" si="104"/>
        <v>3.0866498453112248E-14</v>
      </c>
      <c r="AF625" s="32"/>
    </row>
    <row r="626" spans="29:32" x14ac:dyDescent="0.3">
      <c r="AC626" s="30">
        <v>9400000</v>
      </c>
      <c r="AD626" s="31">
        <f t="shared" si="104"/>
        <v>2.2817604049263489E-14</v>
      </c>
      <c r="AF626" s="32"/>
    </row>
    <row r="627" spans="29:32" x14ac:dyDescent="0.3">
      <c r="AC627" s="30">
        <v>9500000</v>
      </c>
      <c r="AD627" s="31">
        <f t="shared" si="104"/>
        <v>1.6867959309578728E-14</v>
      </c>
      <c r="AF627" s="32"/>
    </row>
    <row r="628" spans="29:32" x14ac:dyDescent="0.3">
      <c r="AC628" s="30">
        <v>9600000</v>
      </c>
      <c r="AD628" s="31">
        <f t="shared" si="104"/>
        <v>1.2469948922125741E-14</v>
      </c>
      <c r="AF628" s="32"/>
    </row>
    <row r="629" spans="29:32" x14ac:dyDescent="0.3">
      <c r="AC629" s="30">
        <v>9700000</v>
      </c>
      <c r="AD629" s="31">
        <f t="shared" si="104"/>
        <v>9.2188389860351408E-15</v>
      </c>
      <c r="AF629" s="32"/>
    </row>
    <row r="630" spans="29:32" x14ac:dyDescent="0.3">
      <c r="AC630" s="30">
        <v>9800000</v>
      </c>
      <c r="AD630" s="31">
        <f t="shared" si="104"/>
        <v>6.8154889326849686E-15</v>
      </c>
      <c r="AF630" s="32"/>
    </row>
    <row r="631" spans="29:32" x14ac:dyDescent="0.3">
      <c r="AC631" s="30">
        <v>9900000</v>
      </c>
      <c r="AD631" s="31">
        <f t="shared" si="104"/>
        <v>5.0387968426572128E-15</v>
      </c>
      <c r="AF631" s="32"/>
    </row>
    <row r="632" spans="29:32" x14ac:dyDescent="0.3">
      <c r="AC632" s="30">
        <v>10000000</v>
      </c>
      <c r="AD632" s="31">
        <f t="shared" si="104"/>
        <v>3.7253368032313728E-15</v>
      </c>
      <c r="AF632" s="32"/>
    </row>
  </sheetData>
  <mergeCells count="5">
    <mergeCell ref="N1:P1"/>
    <mergeCell ref="R1:T1"/>
    <mergeCell ref="J1:L1"/>
    <mergeCell ref="F1:H1"/>
    <mergeCell ref="B1:D1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A139"/>
  <sheetViews>
    <sheetView zoomScale="85" zoomScaleNormal="85" workbookViewId="0">
      <selection activeCell="B25" sqref="B25"/>
    </sheetView>
  </sheetViews>
  <sheetFormatPr baseColWidth="10" defaultColWidth="9.109375" defaultRowHeight="14.4" x14ac:dyDescent="0.3"/>
  <cols>
    <col min="1" max="1" width="9.109375" style="1"/>
    <col min="2" max="2" width="11.6640625" style="1" bestFit="1" customWidth="1"/>
    <col min="3" max="3" width="13.44140625" style="1" bestFit="1" customWidth="1"/>
    <col min="4" max="4" width="11.44140625" style="1" bestFit="1" customWidth="1"/>
    <col min="5" max="5" width="12.109375" style="1" customWidth="1"/>
    <col min="6" max="6" width="12" style="1" bestFit="1" customWidth="1"/>
    <col min="7" max="8" width="13.44140625" style="1" bestFit="1" customWidth="1"/>
    <col min="9" max="9" width="13.6640625" style="1" customWidth="1"/>
    <col min="10" max="10" width="11.6640625" style="1" bestFit="1" customWidth="1"/>
    <col min="11" max="11" width="13.44140625" style="1" bestFit="1" customWidth="1"/>
    <col min="12" max="13" width="13.109375" style="1" customWidth="1"/>
    <col min="14" max="14" width="12.33203125" style="1" bestFit="1" customWidth="1"/>
    <col min="15" max="15" width="13.44140625" style="1" bestFit="1" customWidth="1"/>
    <col min="16" max="16" width="12.5546875" style="1" customWidth="1"/>
    <col min="17" max="17" width="12" style="1" bestFit="1" customWidth="1"/>
    <col min="18" max="18" width="13.5546875" style="1" bestFit="1" customWidth="1"/>
    <col min="19" max="19" width="15.88671875" style="1" customWidth="1"/>
    <col min="20" max="20" width="12.33203125" style="1" bestFit="1" customWidth="1"/>
    <col min="21" max="21" width="15.88671875" style="1" customWidth="1"/>
    <col min="22" max="22" width="18.44140625" style="1" bestFit="1" customWidth="1"/>
    <col min="23" max="23" width="21.44140625" style="1" bestFit="1" customWidth="1"/>
    <col min="24" max="24" width="17" style="1" bestFit="1" customWidth="1"/>
    <col min="25" max="25" width="18.44140625" style="1" bestFit="1" customWidth="1"/>
    <col min="26" max="26" width="23.88671875" style="1" bestFit="1" customWidth="1"/>
    <col min="27" max="27" width="21.44140625" style="1" bestFit="1" customWidth="1"/>
    <col min="28" max="16384" width="9.109375" style="1"/>
  </cols>
  <sheetData>
    <row r="1" spans="2:27" ht="15" thickBot="1" x14ac:dyDescent="0.35">
      <c r="B1" s="33" t="s">
        <v>18</v>
      </c>
      <c r="C1" s="34"/>
      <c r="D1" s="35"/>
      <c r="F1" s="33" t="s">
        <v>3</v>
      </c>
      <c r="G1" s="34"/>
      <c r="H1" s="35"/>
      <c r="J1" s="33" t="s">
        <v>4</v>
      </c>
      <c r="K1" s="34"/>
      <c r="L1" s="35"/>
      <c r="M1" s="16"/>
      <c r="N1" s="33" t="s">
        <v>5</v>
      </c>
      <c r="O1" s="34"/>
      <c r="P1" s="35"/>
      <c r="R1" s="33" t="s">
        <v>17</v>
      </c>
      <c r="S1" s="34"/>
      <c r="T1" s="35"/>
    </row>
    <row r="2" spans="2:27" ht="15" thickBot="1" x14ac:dyDescent="0.35">
      <c r="B2" s="4" t="s">
        <v>0</v>
      </c>
      <c r="C2" s="4" t="s">
        <v>1</v>
      </c>
      <c r="D2" s="5" t="s">
        <v>2</v>
      </c>
      <c r="F2" s="4" t="s">
        <v>0</v>
      </c>
      <c r="G2" s="4" t="s">
        <v>1</v>
      </c>
      <c r="H2" s="5" t="s">
        <v>2</v>
      </c>
      <c r="J2" s="4" t="s">
        <v>0</v>
      </c>
      <c r="K2" s="4" t="s">
        <v>1</v>
      </c>
      <c r="L2" s="5" t="s">
        <v>2</v>
      </c>
      <c r="M2" s="23"/>
      <c r="N2" s="4" t="s">
        <v>0</v>
      </c>
      <c r="O2" s="4" t="s">
        <v>1</v>
      </c>
      <c r="P2" s="5" t="s">
        <v>2</v>
      </c>
      <c r="R2" s="4" t="s">
        <v>0</v>
      </c>
      <c r="S2" s="4" t="s">
        <v>1</v>
      </c>
      <c r="T2" s="5" t="s">
        <v>2</v>
      </c>
    </row>
    <row r="3" spans="2:27" x14ac:dyDescent="0.3">
      <c r="B3" s="3">
        <v>1</v>
      </c>
      <c r="C3" s="3">
        <f>((3)/(E11/2))-1</f>
        <v>3.0967446544148443</v>
      </c>
      <c r="D3" s="3">
        <f>0.16/D11</f>
        <v>0.10924652411772919</v>
      </c>
      <c r="F3" s="3">
        <v>1</v>
      </c>
      <c r="G3" s="3">
        <f>((2.2)/(E19/2))-1</f>
        <v>2.0042794132375525</v>
      </c>
      <c r="H3" s="3">
        <f>0.3/D19</f>
        <v>0.2048372327207422</v>
      </c>
      <c r="J3" s="3">
        <v>1</v>
      </c>
      <c r="K3" s="3">
        <f>((1.68)/(E27/2))-1</f>
        <v>1.2941770064723128</v>
      </c>
      <c r="L3" s="3">
        <f>0.45/D27</f>
        <v>0.30725584908111331</v>
      </c>
      <c r="M3" s="20"/>
      <c r="N3" s="3">
        <v>1</v>
      </c>
      <c r="O3" s="3">
        <f>((1.2)/(E35/2))-1</f>
        <v>0.63869786176593757</v>
      </c>
      <c r="P3" s="3">
        <f>0.8/D35</f>
        <v>0.54623262058864597</v>
      </c>
      <c r="R3" s="3">
        <v>1</v>
      </c>
      <c r="S3" s="2">
        <f>((0.84)/(E43/2))-1</f>
        <v>0.14708850323615641</v>
      </c>
      <c r="T3" s="3">
        <f>1.1/D43</f>
        <v>0.75106985330938814</v>
      </c>
    </row>
    <row r="4" spans="2:27" x14ac:dyDescent="0.3">
      <c r="B4" s="2">
        <v>1.8</v>
      </c>
      <c r="C4" s="3">
        <f>((1.9)/(E12/2))-1</f>
        <v>3.6702889060329227</v>
      </c>
      <c r="D4" s="3">
        <f>0.13/D12</f>
        <v>8.8762800845654966E-2</v>
      </c>
      <c r="F4" s="2">
        <v>1.8</v>
      </c>
      <c r="G4" s="3">
        <f>((1.4)/(E20/2))-1</f>
        <v>2.4412655097084692</v>
      </c>
      <c r="H4" s="3">
        <f>0.24/D20</f>
        <v>0.16386978617659376</v>
      </c>
      <c r="J4" s="2">
        <v>1.8</v>
      </c>
      <c r="K4" s="3">
        <f>((1.02)/(E28/2))-1</f>
        <v>1.5072077285018848</v>
      </c>
      <c r="L4" s="3">
        <f>0.4/D28</f>
        <v>0.27311631029432298</v>
      </c>
      <c r="M4" s="20"/>
      <c r="N4" s="2">
        <v>1.8</v>
      </c>
      <c r="O4" s="3">
        <f>((0.72)/(E36/2))-1</f>
        <v>0.76979369070721271</v>
      </c>
      <c r="P4" s="3">
        <f>0.72/D36</f>
        <v>0.49160935852978133</v>
      </c>
      <c r="R4" s="2">
        <v>1.8</v>
      </c>
      <c r="S4" s="2">
        <f>((0.48)/(E44/2))-1</f>
        <v>0.17986246047147514</v>
      </c>
      <c r="T4" s="3">
        <f>1/D44</f>
        <v>0.68279077573580738</v>
      </c>
    </row>
    <row r="5" spans="2:27" x14ac:dyDescent="0.3">
      <c r="B5" s="2">
        <v>3.3</v>
      </c>
      <c r="C5" s="3">
        <f>((1.16)/(E13/2))-1</f>
        <v>4.2274461790333406</v>
      </c>
      <c r="D5" s="3">
        <f>0.113/D13</f>
        <v>7.715535765814624E-2</v>
      </c>
      <c r="F5" s="2">
        <v>3.3</v>
      </c>
      <c r="G5" s="3">
        <f>((0.84)/(E21/2))-1</f>
        <v>2.7853920606793157</v>
      </c>
      <c r="H5" s="3">
        <f>0.185/D21</f>
        <v>0.12631629351112436</v>
      </c>
      <c r="J5" s="2">
        <v>3.3</v>
      </c>
      <c r="K5" s="3">
        <f>((0.63)/(E29/2))-1</f>
        <v>1.8390440455094867</v>
      </c>
      <c r="L5" s="3">
        <f>0.34/D29</f>
        <v>0.23214886375017452</v>
      </c>
      <c r="M5" s="20"/>
      <c r="N5" s="2">
        <v>3.3</v>
      </c>
      <c r="O5" s="3">
        <f>((0.44)/(E37/2))-1</f>
        <v>0.98282441273678445</v>
      </c>
      <c r="P5" s="3">
        <f>0.646/D37</f>
        <v>0.44108284112533158</v>
      </c>
      <c r="R5" s="2">
        <v>3.3</v>
      </c>
      <c r="S5" s="3">
        <f>((0.28)/(E45/2))-1</f>
        <v>0.26179735355977196</v>
      </c>
      <c r="T5" s="3">
        <f>0.953/D45</f>
        <v>0.65069960927622439</v>
      </c>
    </row>
    <row r="6" spans="2:27" x14ac:dyDescent="0.3">
      <c r="B6" s="2">
        <v>6</v>
      </c>
      <c r="C6" s="3">
        <f>((0.71)/(E14/2))-1</f>
        <v>4.8173774092690786</v>
      </c>
      <c r="D6" s="3">
        <f>0.0941/D14</f>
        <v>6.4250611996739482E-2</v>
      </c>
      <c r="F6" s="2">
        <v>6</v>
      </c>
      <c r="G6" s="3">
        <f>((0.515)/(E22/2))-1</f>
        <v>3.2196469940472898</v>
      </c>
      <c r="H6" s="3">
        <f>0.14/D22</f>
        <v>9.5590708603013039E-2</v>
      </c>
      <c r="J6" s="2">
        <v>6</v>
      </c>
      <c r="K6" s="3">
        <f>((0.39)/(E30/2))-1</f>
        <v>2.195460830443579</v>
      </c>
      <c r="L6" s="3">
        <f>0.3/D30</f>
        <v>0.2048372327207422</v>
      </c>
      <c r="M6" s="20"/>
      <c r="N6" s="2">
        <v>6</v>
      </c>
      <c r="O6" s="3">
        <f>((0.256)/(E38/2))-1</f>
        <v>1.0975332630604004</v>
      </c>
      <c r="P6" s="3">
        <f>0.596/D38</f>
        <v>0.4069433023385412</v>
      </c>
      <c r="R6" s="2">
        <v>6</v>
      </c>
      <c r="S6" s="2">
        <f>((0.165)/(E46/2))-1</f>
        <v>0.3519257359568988</v>
      </c>
      <c r="T6" s="3">
        <f>0.896/D46</f>
        <v>0.61178053505928343</v>
      </c>
    </row>
    <row r="7" spans="2:27" x14ac:dyDescent="0.3">
      <c r="B7" s="2">
        <v>10</v>
      </c>
      <c r="C7" s="3">
        <f>((0.46)/(E15/2))-1</f>
        <v>5.2816751367694277</v>
      </c>
      <c r="D7" s="3">
        <f>0.0736/D15</f>
        <v>5.0253401094155423E-2</v>
      </c>
      <c r="F7" s="2">
        <v>10</v>
      </c>
      <c r="G7" s="3">
        <f>((0.335)/(E23/2))-1</f>
        <v>3.5746981974299095</v>
      </c>
      <c r="H7" s="3">
        <f>0.108/D23</f>
        <v>7.3741403779467196E-2</v>
      </c>
      <c r="J7" s="2">
        <v>10</v>
      </c>
      <c r="K7" s="3">
        <f>((0.25)/(E31/2))-1</f>
        <v>2.4139538786790369</v>
      </c>
      <c r="L7" s="3">
        <f>0.277/D31</f>
        <v>0.18913304487881866</v>
      </c>
      <c r="M7" s="20"/>
      <c r="N7" s="2">
        <v>10</v>
      </c>
      <c r="O7" s="3">
        <f>((0.16)/(E39/2))-1</f>
        <v>1.1849304823545834</v>
      </c>
      <c r="P7" s="3">
        <f>0.56/D39</f>
        <v>0.38236283441205215</v>
      </c>
      <c r="R7" s="2">
        <v>10</v>
      </c>
      <c r="S7" s="2">
        <f>((0.104)/(E47/2))-1</f>
        <v>0.42020481353047923</v>
      </c>
      <c r="T7" s="3">
        <f>0.889/D47</f>
        <v>0.60700099962913279</v>
      </c>
    </row>
    <row r="8" spans="2:27" x14ac:dyDescent="0.3">
      <c r="B8" s="15">
        <v>20</v>
      </c>
      <c r="C8" s="3">
        <f>((0.26)/(E16/2))-1</f>
        <v>6.1010240676523964</v>
      </c>
      <c r="D8" s="3">
        <f>0.0543/D16</f>
        <v>3.7075539122454343E-2</v>
      </c>
      <c r="F8" s="15">
        <v>20</v>
      </c>
      <c r="G8" s="3">
        <f>((0.19)/(E24/2))-1</f>
        <v>4.1892098955921355</v>
      </c>
      <c r="H8" s="3">
        <f>0.0927/D24</f>
        <v>6.3294704910709348E-2</v>
      </c>
      <c r="J8" s="15">
        <v>20</v>
      </c>
      <c r="K8" s="3">
        <f>((0.142)/(E32/2))-1</f>
        <v>2.8782516061793855</v>
      </c>
      <c r="L8" s="3">
        <f>0.25/D32</f>
        <v>0.17069769393395184</v>
      </c>
      <c r="M8" s="21"/>
      <c r="N8" s="15">
        <v>20</v>
      </c>
      <c r="O8" s="3">
        <f>((0.086)/(E40/2))-1</f>
        <v>1.3488002685311771</v>
      </c>
      <c r="P8" s="3">
        <f>0.538/D40</f>
        <v>0.36734143734586439</v>
      </c>
      <c r="R8" s="15">
        <v>20</v>
      </c>
      <c r="S8" s="6">
        <f>((0.055)/(E48/2))-1</f>
        <v>0.50213970661877605</v>
      </c>
      <c r="T8" s="3">
        <f>0.87/D48</f>
        <v>0.59402797489015247</v>
      </c>
    </row>
    <row r="9" spans="2:27" ht="15" thickBot="1" x14ac:dyDescent="0.35"/>
    <row r="10" spans="2:27" ht="20.399999999999999" thickBot="1" x14ac:dyDescent="0.35">
      <c r="B10" s="12" t="s">
        <v>12</v>
      </c>
      <c r="C10" s="12" t="s">
        <v>14</v>
      </c>
      <c r="D10" s="12" t="s">
        <v>15</v>
      </c>
      <c r="E10" s="12" t="s">
        <v>22</v>
      </c>
      <c r="F10" s="12" t="s">
        <v>13</v>
      </c>
      <c r="G10" s="12" t="s">
        <v>26</v>
      </c>
      <c r="H10" s="12" t="s">
        <v>10</v>
      </c>
      <c r="I10" s="28" t="s">
        <v>8</v>
      </c>
      <c r="J10" s="12" t="s">
        <v>31</v>
      </c>
      <c r="K10" s="12" t="s">
        <v>32</v>
      </c>
      <c r="L10" s="12" t="s">
        <v>33</v>
      </c>
      <c r="M10" s="12" t="s">
        <v>16</v>
      </c>
      <c r="N10" s="12" t="s">
        <v>23</v>
      </c>
      <c r="O10" s="12" t="s">
        <v>24</v>
      </c>
      <c r="P10" s="22" t="s">
        <v>25</v>
      </c>
      <c r="Q10" s="29" t="s">
        <v>9</v>
      </c>
      <c r="R10" s="12" t="s">
        <v>28</v>
      </c>
      <c r="S10" s="12" t="s">
        <v>21</v>
      </c>
      <c r="T10" s="12" t="s">
        <v>6</v>
      </c>
      <c r="U10" s="12" t="s">
        <v>7</v>
      </c>
      <c r="V10" s="12" t="s">
        <v>20</v>
      </c>
      <c r="W10" s="12" t="s">
        <v>19</v>
      </c>
      <c r="X10" s="12" t="s">
        <v>27</v>
      </c>
      <c r="Y10" s="12" t="s">
        <v>11</v>
      </c>
      <c r="Z10" s="12" t="s">
        <v>29</v>
      </c>
      <c r="AA10" s="12" t="s">
        <v>30</v>
      </c>
    </row>
    <row r="11" spans="2:27" x14ac:dyDescent="0.3">
      <c r="B11" s="7">
        <v>1000</v>
      </c>
      <c r="C11" s="7">
        <v>1E-3</v>
      </c>
      <c r="D11" s="8">
        <f t="shared" ref="D11:D16" si="0">(3.1415)^(1/3)</f>
        <v>1.4645774892350487</v>
      </c>
      <c r="E11" s="7">
        <f t="shared" ref="E11:E16" si="1">D11/I11</f>
        <v>1.4645774892350487</v>
      </c>
      <c r="F11" s="7">
        <v>1</v>
      </c>
      <c r="G11" s="14">
        <v>1</v>
      </c>
      <c r="H11" s="7">
        <v>4.3937309999999997E-3</v>
      </c>
      <c r="I11" s="9">
        <f>1</f>
        <v>1</v>
      </c>
      <c r="J11" s="7">
        <f t="shared" ref="J11:J16" si="2">C3+1</f>
        <v>4.0967446544148443</v>
      </c>
      <c r="K11" s="7">
        <f t="shared" ref="K11:K16" si="3">J11-1</f>
        <v>3.0967446544148443</v>
      </c>
      <c r="L11" s="7">
        <f t="shared" ref="L11:L16" si="4">D3</f>
        <v>0.10924652411772919</v>
      </c>
      <c r="M11" s="7">
        <f t="shared" ref="M11:M16" si="5">(((Q11-H11)*(D11^G11))/(F11))^(1/G11)</f>
        <v>2.1385522624576851</v>
      </c>
      <c r="N11" s="7">
        <f t="shared" ref="N11:N16" si="6">(((H11^(((2*G11)+3)/3))*(D11^G11)*(1/F11))/((Q11*I11)^(2*G11/3)))^(1/G11)</f>
        <v>1.3385252211108788E-4</v>
      </c>
      <c r="O11" s="7">
        <f t="shared" ref="O11:O16" si="7">M11/N11</f>
        <v>15976.929151046119</v>
      </c>
      <c r="P11" s="11">
        <f t="shared" ref="P11:P16" si="8">(F11+(H11*D11/M11))/Q11</f>
        <v>0.68484531098244683</v>
      </c>
      <c r="Q11" s="11">
        <f t="shared" ref="Q11:Q16" si="9">B11*C11*D11</f>
        <v>1.4645774892350487</v>
      </c>
      <c r="R11" s="7">
        <f t="shared" ref="R11:R16" si="10">F11*((M11/D11)^(G11))</f>
        <v>1.4601837582350488</v>
      </c>
      <c r="S11" s="7">
        <f t="shared" ref="S11:S16" si="11">C11*M11*M11</f>
        <v>4.5734057792628834E-3</v>
      </c>
      <c r="T11" s="7">
        <f t="shared" ref="T11:T16" si="12">Q11/R11</f>
        <v>1.0030090260730682</v>
      </c>
      <c r="U11" s="19">
        <f t="shared" ref="U11:U16" si="13">H11/Q11</f>
        <v>2.9999989978644645E-3</v>
      </c>
      <c r="V11" s="7">
        <f t="shared" ref="V11:V16" si="14">S11/Q11</f>
        <v>3.122679279777529E-3</v>
      </c>
      <c r="W11" s="7">
        <f t="shared" ref="W11:W16" si="15">S11/R11</f>
        <v>3.1320755031482091E-3</v>
      </c>
      <c r="X11" s="7">
        <f t="shared" ref="X11:X16" si="16">(T11*I11)^((1)/((2*G11)+3))</f>
        <v>1.0006010821805658</v>
      </c>
      <c r="Y11" s="7">
        <f t="shared" ref="Y11:Y16" si="17">((1/U11)*I11)^(1/3)</f>
        <v>6.9336135155531551</v>
      </c>
      <c r="Z11" s="7">
        <f t="shared" ref="Z11:Z16" si="18">((1/T11)*(1/I11))^((2)/((2*G11)+3))</f>
        <v>0.99879891867020065</v>
      </c>
      <c r="AA11" s="7">
        <f t="shared" ref="AA11:AA16" si="19">((U11)*(1/I11))^(2/3)</f>
        <v>2.0800833598238967E-2</v>
      </c>
    </row>
    <row r="12" spans="2:27" x14ac:dyDescent="0.3">
      <c r="B12" s="6">
        <v>1000</v>
      </c>
      <c r="C12" s="6">
        <v>1E-3</v>
      </c>
      <c r="D12" s="8">
        <f t="shared" si="0"/>
        <v>1.4645774892350487</v>
      </c>
      <c r="E12" s="6">
        <f t="shared" si="1"/>
        <v>0.81365416068613816</v>
      </c>
      <c r="F12" s="6">
        <v>1</v>
      </c>
      <c r="G12" s="13">
        <v>1</v>
      </c>
      <c r="H12" s="7">
        <v>4.3937309999999997E-3</v>
      </c>
      <c r="I12" s="10">
        <v>1.8</v>
      </c>
      <c r="J12" s="7">
        <f t="shared" si="2"/>
        <v>4.6702889060329227</v>
      </c>
      <c r="K12" s="7">
        <f t="shared" si="3"/>
        <v>3.6702889060329227</v>
      </c>
      <c r="L12" s="6">
        <f t="shared" si="4"/>
        <v>8.8762800845654966E-2</v>
      </c>
      <c r="M12" s="7">
        <f t="shared" si="5"/>
        <v>2.1385522624576851</v>
      </c>
      <c r="N12" s="7">
        <f t="shared" si="6"/>
        <v>9.0457564121843481E-5</v>
      </c>
      <c r="O12" s="7">
        <f t="shared" si="7"/>
        <v>23641.497349819445</v>
      </c>
      <c r="P12" s="11">
        <f t="shared" si="8"/>
        <v>0.68484531098244683</v>
      </c>
      <c r="Q12" s="11">
        <f t="shared" si="9"/>
        <v>1.4645774892350487</v>
      </c>
      <c r="R12" s="7">
        <f t="shared" si="10"/>
        <v>1.4601837582350488</v>
      </c>
      <c r="S12" s="7">
        <f t="shared" si="11"/>
        <v>4.5734057792628834E-3</v>
      </c>
      <c r="T12" s="7">
        <f t="shared" si="12"/>
        <v>1.0030090260730682</v>
      </c>
      <c r="U12" s="19">
        <f t="shared" si="13"/>
        <v>2.9999989978644645E-3</v>
      </c>
      <c r="V12" s="7">
        <f t="shared" si="14"/>
        <v>3.122679279777529E-3</v>
      </c>
      <c r="W12" s="7">
        <f t="shared" si="15"/>
        <v>3.1320755031482091E-3</v>
      </c>
      <c r="X12" s="7">
        <f t="shared" si="16"/>
        <v>1.1254221779883651</v>
      </c>
      <c r="Y12" s="7">
        <f t="shared" si="17"/>
        <v>8.4343275921664187</v>
      </c>
      <c r="Z12" s="7">
        <f t="shared" si="18"/>
        <v>0.78953077224605928</v>
      </c>
      <c r="AA12" s="7">
        <f t="shared" si="19"/>
        <v>1.405720795786659E-2</v>
      </c>
    </row>
    <row r="13" spans="2:27" x14ac:dyDescent="0.3">
      <c r="B13" s="6">
        <v>1000</v>
      </c>
      <c r="C13" s="6">
        <v>1E-3</v>
      </c>
      <c r="D13" s="8">
        <f t="shared" si="0"/>
        <v>1.4645774892350487</v>
      </c>
      <c r="E13" s="6">
        <f t="shared" si="1"/>
        <v>0.44381136037425722</v>
      </c>
      <c r="F13" s="6">
        <v>1</v>
      </c>
      <c r="G13" s="13">
        <v>1</v>
      </c>
      <c r="H13" s="7">
        <v>4.3937309999999997E-3</v>
      </c>
      <c r="I13" s="10">
        <v>3.3</v>
      </c>
      <c r="J13" s="7">
        <f t="shared" si="2"/>
        <v>5.2274461790333406</v>
      </c>
      <c r="K13" s="7">
        <f t="shared" si="3"/>
        <v>4.2274461790333406</v>
      </c>
      <c r="L13" s="6">
        <f t="shared" si="4"/>
        <v>7.715535765814624E-2</v>
      </c>
      <c r="M13" s="7">
        <f t="shared" si="5"/>
        <v>2.1385522624576851</v>
      </c>
      <c r="N13" s="7">
        <f t="shared" si="6"/>
        <v>6.0387993392685646E-5</v>
      </c>
      <c r="O13" s="7">
        <f t="shared" si="7"/>
        <v>35413.534087004657</v>
      </c>
      <c r="P13" s="11">
        <f t="shared" si="8"/>
        <v>0.68484531098244683</v>
      </c>
      <c r="Q13" s="11">
        <f t="shared" si="9"/>
        <v>1.4645774892350487</v>
      </c>
      <c r="R13" s="7">
        <f t="shared" si="10"/>
        <v>1.4601837582350488</v>
      </c>
      <c r="S13" s="7">
        <f t="shared" si="11"/>
        <v>4.5734057792628834E-3</v>
      </c>
      <c r="T13" s="7">
        <f t="shared" si="12"/>
        <v>1.0030090260730682</v>
      </c>
      <c r="U13" s="19">
        <f t="shared" si="13"/>
        <v>2.9999989978644645E-3</v>
      </c>
      <c r="V13" s="7">
        <f t="shared" si="14"/>
        <v>3.122679279777529E-3</v>
      </c>
      <c r="W13" s="7">
        <f t="shared" si="15"/>
        <v>3.1320755031482091E-3</v>
      </c>
      <c r="X13" s="7">
        <f t="shared" si="16"/>
        <v>1.2704680746665611</v>
      </c>
      <c r="Y13" s="7">
        <f t="shared" si="17"/>
        <v>10.32280230399124</v>
      </c>
      <c r="Z13" s="7">
        <f t="shared" si="18"/>
        <v>0.6195444738397532</v>
      </c>
      <c r="AA13" s="7">
        <f t="shared" si="19"/>
        <v>9.3843625960990072E-3</v>
      </c>
    </row>
    <row r="14" spans="2:27" x14ac:dyDescent="0.3">
      <c r="B14" s="6">
        <v>1000</v>
      </c>
      <c r="C14" s="6">
        <v>1E-3</v>
      </c>
      <c r="D14" s="8">
        <f t="shared" si="0"/>
        <v>1.4645774892350487</v>
      </c>
      <c r="E14" s="6">
        <f t="shared" si="1"/>
        <v>0.24409624820584144</v>
      </c>
      <c r="F14" s="6">
        <v>1</v>
      </c>
      <c r="G14" s="13">
        <v>1</v>
      </c>
      <c r="H14" s="7">
        <v>4.3937309999999997E-3</v>
      </c>
      <c r="I14" s="10">
        <v>6</v>
      </c>
      <c r="J14" s="7">
        <f t="shared" si="2"/>
        <v>5.8173774092690786</v>
      </c>
      <c r="K14" s="7">
        <f t="shared" si="3"/>
        <v>4.8173774092690786</v>
      </c>
      <c r="L14" s="6">
        <f t="shared" si="4"/>
        <v>6.4250611996739482E-2</v>
      </c>
      <c r="M14" s="7">
        <f t="shared" si="5"/>
        <v>2.1385522624576851</v>
      </c>
      <c r="N14" s="7">
        <f t="shared" si="6"/>
        <v>4.0537695721762849E-5</v>
      </c>
      <c r="O14" s="7">
        <f t="shared" si="7"/>
        <v>52754.657717498078</v>
      </c>
      <c r="P14" s="11">
        <f t="shared" si="8"/>
        <v>0.68484531098244683</v>
      </c>
      <c r="Q14" s="11">
        <f t="shared" si="9"/>
        <v>1.4645774892350487</v>
      </c>
      <c r="R14" s="7">
        <f t="shared" si="10"/>
        <v>1.4601837582350488</v>
      </c>
      <c r="S14" s="7">
        <f t="shared" si="11"/>
        <v>4.5734057792628834E-3</v>
      </c>
      <c r="T14" s="7">
        <f t="shared" si="12"/>
        <v>1.0030090260730682</v>
      </c>
      <c r="U14" s="19">
        <f t="shared" si="13"/>
        <v>2.9999989978644645E-3</v>
      </c>
      <c r="V14" s="7">
        <f t="shared" si="14"/>
        <v>3.122679279777529E-3</v>
      </c>
      <c r="W14" s="7">
        <f t="shared" si="15"/>
        <v>3.1320755031482091E-3</v>
      </c>
      <c r="X14" s="7">
        <f t="shared" si="16"/>
        <v>1.4318292111208484</v>
      </c>
      <c r="Y14" s="7">
        <f t="shared" si="17"/>
        <v>12.599211901850882</v>
      </c>
      <c r="Z14" s="7">
        <f t="shared" si="18"/>
        <v>0.48777278264276097</v>
      </c>
      <c r="AA14" s="7">
        <f t="shared" si="19"/>
        <v>6.2996038465724493E-3</v>
      </c>
    </row>
    <row r="15" spans="2:27" x14ac:dyDescent="0.3">
      <c r="B15" s="6">
        <v>1000</v>
      </c>
      <c r="C15" s="6">
        <v>1E-3</v>
      </c>
      <c r="D15" s="8">
        <f t="shared" si="0"/>
        <v>1.4645774892350487</v>
      </c>
      <c r="E15" s="6">
        <f t="shared" si="1"/>
        <v>0.14645774892350488</v>
      </c>
      <c r="F15" s="6">
        <v>1</v>
      </c>
      <c r="G15" s="13">
        <v>1</v>
      </c>
      <c r="H15" s="7">
        <v>4.3937309999999997E-3</v>
      </c>
      <c r="I15" s="10">
        <v>10</v>
      </c>
      <c r="J15" s="7">
        <f t="shared" si="2"/>
        <v>6.2816751367694277</v>
      </c>
      <c r="K15" s="7">
        <f t="shared" si="3"/>
        <v>5.2816751367694277</v>
      </c>
      <c r="L15" s="6">
        <f t="shared" si="4"/>
        <v>5.0253401094155423E-2</v>
      </c>
      <c r="M15" s="7">
        <f t="shared" si="5"/>
        <v>2.1385522624576851</v>
      </c>
      <c r="N15" s="7">
        <f t="shared" si="6"/>
        <v>2.8837651698438743E-5</v>
      </c>
      <c r="O15" s="7">
        <f t="shared" si="7"/>
        <v>74158.335942918173</v>
      </c>
      <c r="P15" s="11">
        <f t="shared" si="8"/>
        <v>0.68484531098244683</v>
      </c>
      <c r="Q15" s="11">
        <f t="shared" si="9"/>
        <v>1.4645774892350487</v>
      </c>
      <c r="R15" s="7">
        <f t="shared" si="10"/>
        <v>1.4601837582350488</v>
      </c>
      <c r="S15" s="7">
        <f t="shared" si="11"/>
        <v>4.5734057792628834E-3</v>
      </c>
      <c r="T15" s="7">
        <f t="shared" si="12"/>
        <v>1.0030090260730682</v>
      </c>
      <c r="U15" s="19">
        <f t="shared" si="13"/>
        <v>2.9999989978644645E-3</v>
      </c>
      <c r="V15" s="7">
        <f t="shared" si="14"/>
        <v>3.122679279777529E-3</v>
      </c>
      <c r="W15" s="7">
        <f t="shared" si="15"/>
        <v>3.1320755031482091E-3</v>
      </c>
      <c r="X15" s="7">
        <f t="shared" si="16"/>
        <v>1.585845843517202</v>
      </c>
      <c r="Y15" s="7">
        <f t="shared" si="17"/>
        <v>14.938017485181636</v>
      </c>
      <c r="Z15" s="7">
        <f t="shared" si="18"/>
        <v>0.39762901146368612</v>
      </c>
      <c r="AA15" s="7">
        <f t="shared" si="19"/>
        <v>4.4814037485626798E-3</v>
      </c>
    </row>
    <row r="16" spans="2:27" x14ac:dyDescent="0.3">
      <c r="B16" s="6">
        <v>1000</v>
      </c>
      <c r="C16" s="6">
        <v>1E-3</v>
      </c>
      <c r="D16" s="8">
        <f t="shared" si="0"/>
        <v>1.4645774892350487</v>
      </c>
      <c r="E16" s="6">
        <f t="shared" si="1"/>
        <v>7.3228874461752441E-2</v>
      </c>
      <c r="F16" s="6">
        <v>1</v>
      </c>
      <c r="G16" s="13">
        <v>1</v>
      </c>
      <c r="H16" s="7">
        <v>4.3937309999999997E-3</v>
      </c>
      <c r="I16" s="10">
        <v>20</v>
      </c>
      <c r="J16" s="7">
        <f t="shared" si="2"/>
        <v>7.1010240676523964</v>
      </c>
      <c r="K16" s="7">
        <f t="shared" si="3"/>
        <v>6.1010240676523964</v>
      </c>
      <c r="L16" s="6">
        <f t="shared" si="4"/>
        <v>3.7075539122454343E-2</v>
      </c>
      <c r="M16" s="7">
        <f t="shared" si="5"/>
        <v>2.1385522624576851</v>
      </c>
      <c r="N16" s="7">
        <f t="shared" si="6"/>
        <v>1.8166582202199816E-5</v>
      </c>
      <c r="O16" s="7">
        <f t="shared" si="7"/>
        <v>117719.02048799938</v>
      </c>
      <c r="P16" s="11">
        <f t="shared" si="8"/>
        <v>0.68484531098244683</v>
      </c>
      <c r="Q16" s="11">
        <f t="shared" si="9"/>
        <v>1.4645774892350487</v>
      </c>
      <c r="R16" s="7">
        <f t="shared" si="10"/>
        <v>1.4601837582350488</v>
      </c>
      <c r="S16" s="7">
        <f t="shared" si="11"/>
        <v>4.5734057792628834E-3</v>
      </c>
      <c r="T16" s="7">
        <f t="shared" si="12"/>
        <v>1.0030090260730682</v>
      </c>
      <c r="U16" s="19">
        <f t="shared" si="13"/>
        <v>2.9999989978644645E-3</v>
      </c>
      <c r="V16" s="7">
        <f t="shared" si="14"/>
        <v>3.122679279777529E-3</v>
      </c>
      <c r="W16" s="7">
        <f t="shared" si="15"/>
        <v>3.1320755031482091E-3</v>
      </c>
      <c r="X16" s="7">
        <f t="shared" si="16"/>
        <v>1.8216585117270954</v>
      </c>
      <c r="Y16" s="7">
        <f t="shared" si="17"/>
        <v>18.820722673278024</v>
      </c>
      <c r="Z16" s="7">
        <f t="shared" si="18"/>
        <v>0.30134644000033112</v>
      </c>
      <c r="AA16" s="7">
        <f t="shared" si="19"/>
        <v>2.8231074579459546E-3</v>
      </c>
    </row>
    <row r="17" spans="2:27" ht="15" thickBot="1" x14ac:dyDescent="0.35">
      <c r="K17" s="24"/>
    </row>
    <row r="18" spans="2:27" ht="20.399999999999999" thickBot="1" x14ac:dyDescent="0.35">
      <c r="B18" s="12" t="s">
        <v>12</v>
      </c>
      <c r="C18" s="12" t="s">
        <v>14</v>
      </c>
      <c r="D18" s="12" t="s">
        <v>15</v>
      </c>
      <c r="E18" s="12" t="s">
        <v>22</v>
      </c>
      <c r="F18" s="12" t="s">
        <v>13</v>
      </c>
      <c r="G18" s="12" t="s">
        <v>26</v>
      </c>
      <c r="H18" s="12" t="s">
        <v>10</v>
      </c>
      <c r="I18" s="28" t="s">
        <v>8</v>
      </c>
      <c r="J18" s="12" t="s">
        <v>31</v>
      </c>
      <c r="K18" s="12" t="s">
        <v>32</v>
      </c>
      <c r="L18" s="12" t="s">
        <v>33</v>
      </c>
      <c r="M18" s="12" t="s">
        <v>16</v>
      </c>
      <c r="N18" s="12" t="s">
        <v>23</v>
      </c>
      <c r="O18" s="12" t="s">
        <v>24</v>
      </c>
      <c r="P18" s="22" t="s">
        <v>25</v>
      </c>
      <c r="Q18" s="29" t="s">
        <v>9</v>
      </c>
      <c r="R18" s="12" t="s">
        <v>28</v>
      </c>
      <c r="S18" s="12" t="s">
        <v>21</v>
      </c>
      <c r="T18" s="12" t="s">
        <v>6</v>
      </c>
      <c r="U18" s="12" t="s">
        <v>7</v>
      </c>
      <c r="V18" s="12" t="s">
        <v>20</v>
      </c>
      <c r="W18" s="12" t="s">
        <v>19</v>
      </c>
      <c r="X18" s="12" t="s">
        <v>27</v>
      </c>
      <c r="Y18" s="12" t="s">
        <v>11</v>
      </c>
      <c r="Z18" s="12" t="s">
        <v>29</v>
      </c>
      <c r="AA18" s="12" t="s">
        <v>30</v>
      </c>
    </row>
    <row r="19" spans="2:27" x14ac:dyDescent="0.3">
      <c r="B19" s="7">
        <v>1000</v>
      </c>
      <c r="C19" s="7">
        <v>1E-3</v>
      </c>
      <c r="D19" s="8">
        <f t="shared" ref="D19:D24" si="20">(3.1415)^(1/3)</f>
        <v>1.4645774892350487</v>
      </c>
      <c r="E19" s="7">
        <f t="shared" ref="E19:E24" si="21">D19/I19</f>
        <v>1.4645774892350487</v>
      </c>
      <c r="F19" s="7">
        <v>1</v>
      </c>
      <c r="G19" s="14">
        <v>1</v>
      </c>
      <c r="H19" s="7">
        <v>1.4645770000000001E-2</v>
      </c>
      <c r="I19" s="9">
        <f>1</f>
        <v>1</v>
      </c>
      <c r="J19" s="7">
        <f t="shared" ref="J19:J24" si="22">G3+1</f>
        <v>3.0042794132375525</v>
      </c>
      <c r="K19" s="7">
        <f t="shared" ref="K19:K24" si="23">J19-1</f>
        <v>2.0042794132375525</v>
      </c>
      <c r="L19" s="7">
        <f t="shared" ref="L19:L24" si="24">H3</f>
        <v>0.2048372327207422</v>
      </c>
      <c r="M19" s="7">
        <f t="shared" ref="M19:M24" si="25">(((Q19-H19)*(D19^G19))/(F19))^(1/G19)</f>
        <v>2.1235373569195253</v>
      </c>
      <c r="N19" s="7">
        <f t="shared" ref="N19:N24" si="26">(((H19^(((2*G19)+3)/3))*(D19^G19)*(1/F19))/((Q19*I19)^(2*G19/3)))^(1/G19)</f>
        <v>9.9561431947516065E-4</v>
      </c>
      <c r="O19" s="7">
        <f t="shared" ref="O19:O24" si="27">M19/N19</f>
        <v>2132.8915377984426</v>
      </c>
      <c r="P19" s="11">
        <f t="shared" ref="P19:P24" si="28">(F19+(H19*D19/M19))/Q19</f>
        <v>0.68968764993125153</v>
      </c>
      <c r="Q19" s="11">
        <f t="shared" ref="Q19:Q24" si="29">B19*C19*D19</f>
        <v>1.4645774892350487</v>
      </c>
      <c r="R19" s="7">
        <f t="shared" ref="R19:R24" si="30">F19*((M19/D19)^(G19))</f>
        <v>1.4499317192350487</v>
      </c>
      <c r="S19" s="7">
        <f t="shared" ref="S19:S24" si="31">C19*M19*M19</f>
        <v>4.5094109062327635E-3</v>
      </c>
      <c r="T19" s="7">
        <f t="shared" ref="T19:T24" si="32">Q19/R19</f>
        <v>1.0101010066927336</v>
      </c>
      <c r="U19" s="19">
        <f t="shared" ref="U19:U24" si="33">H19/Q19</f>
        <v>9.999996659548217E-3</v>
      </c>
      <c r="V19" s="7">
        <f t="shared" ref="V19:V24" si="34">S19/Q19</f>
        <v>3.0789841707781788E-3</v>
      </c>
      <c r="W19" s="7">
        <f t="shared" ref="W19:W24" si="35">S19/R19</f>
        <v>3.11008501049403E-3</v>
      </c>
      <c r="X19" s="7">
        <f t="shared" ref="X19:X24" si="36">(T19*I19)^((1)/((2*G19)+3))</f>
        <v>1.0020120880337686</v>
      </c>
      <c r="Y19" s="7">
        <f t="shared" ref="Y19:Y24" si="37">((1/U19)*I19)^(1/3)</f>
        <v>4.641589350446349</v>
      </c>
      <c r="Z19" s="7">
        <f t="shared" ref="Z19:Z24" si="38">((1/T19)*(1/I19))^((2)/((2*G19)+3))</f>
        <v>0.99598793692524412</v>
      </c>
      <c r="AA19" s="7">
        <f t="shared" ref="AA19:AA24" si="39">((U19)*(1/I19))^(2/3)</f>
        <v>4.6415877999458108E-2</v>
      </c>
    </row>
    <row r="20" spans="2:27" x14ac:dyDescent="0.3">
      <c r="B20" s="6">
        <v>1000</v>
      </c>
      <c r="C20" s="6">
        <v>1E-3</v>
      </c>
      <c r="D20" s="8">
        <f t="shared" si="20"/>
        <v>1.4645774892350487</v>
      </c>
      <c r="E20" s="6">
        <f t="shared" si="21"/>
        <v>0.81365416068613816</v>
      </c>
      <c r="F20" s="6">
        <v>1</v>
      </c>
      <c r="G20" s="13">
        <v>1</v>
      </c>
      <c r="H20" s="7">
        <v>1.4645770000000001E-2</v>
      </c>
      <c r="I20" s="10">
        <v>1.8</v>
      </c>
      <c r="J20" s="6">
        <f t="shared" si="22"/>
        <v>3.4412655097084692</v>
      </c>
      <c r="K20" s="7">
        <f t="shared" si="23"/>
        <v>2.4412655097084692</v>
      </c>
      <c r="L20" s="6">
        <f t="shared" si="24"/>
        <v>0.16386978617659376</v>
      </c>
      <c r="M20" s="7">
        <f t="shared" si="25"/>
        <v>2.1235373569195253</v>
      </c>
      <c r="N20" s="7">
        <f t="shared" si="26"/>
        <v>6.7283637785925268E-4</v>
      </c>
      <c r="O20" s="7">
        <f t="shared" si="27"/>
        <v>3156.0977182534825</v>
      </c>
      <c r="P20" s="11">
        <f t="shared" si="28"/>
        <v>0.68968764993125153</v>
      </c>
      <c r="Q20" s="11">
        <f t="shared" si="29"/>
        <v>1.4645774892350487</v>
      </c>
      <c r="R20" s="7">
        <f t="shared" si="30"/>
        <v>1.4499317192350487</v>
      </c>
      <c r="S20" s="7">
        <f t="shared" si="31"/>
        <v>4.5094109062327635E-3</v>
      </c>
      <c r="T20" s="7">
        <f t="shared" si="32"/>
        <v>1.0101010066927336</v>
      </c>
      <c r="U20" s="19">
        <f t="shared" si="33"/>
        <v>9.999996659548217E-3</v>
      </c>
      <c r="V20" s="7">
        <f t="shared" si="34"/>
        <v>3.0789841707781788E-3</v>
      </c>
      <c r="W20" s="7">
        <f t="shared" si="35"/>
        <v>3.11008501049403E-3</v>
      </c>
      <c r="X20" s="7">
        <f t="shared" si="36"/>
        <v>1.1270092013373758</v>
      </c>
      <c r="Y20" s="7">
        <f t="shared" si="37"/>
        <v>5.6462168019834076</v>
      </c>
      <c r="Z20" s="7">
        <f t="shared" si="38"/>
        <v>0.78730874682494656</v>
      </c>
      <c r="AA20" s="7">
        <f t="shared" si="39"/>
        <v>3.1367860643843934E-2</v>
      </c>
    </row>
    <row r="21" spans="2:27" x14ac:dyDescent="0.3">
      <c r="B21" s="6">
        <v>1000</v>
      </c>
      <c r="C21" s="6">
        <v>1E-3</v>
      </c>
      <c r="D21" s="8">
        <f t="shared" si="20"/>
        <v>1.4645774892350487</v>
      </c>
      <c r="E21" s="6">
        <f t="shared" si="21"/>
        <v>0.44381136037425722</v>
      </c>
      <c r="F21" s="6">
        <v>1</v>
      </c>
      <c r="G21" s="13">
        <v>1</v>
      </c>
      <c r="H21" s="7">
        <v>1.4645770000000001E-2</v>
      </c>
      <c r="I21" s="10">
        <v>3.3</v>
      </c>
      <c r="J21" s="6">
        <f t="shared" si="22"/>
        <v>3.7853920606793157</v>
      </c>
      <c r="K21" s="7">
        <f t="shared" si="23"/>
        <v>2.7853920606793157</v>
      </c>
      <c r="L21" s="6">
        <f t="shared" si="24"/>
        <v>0.12631629351112436</v>
      </c>
      <c r="M21" s="7">
        <f t="shared" si="25"/>
        <v>2.1235373569195253</v>
      </c>
      <c r="N21" s="7">
        <f t="shared" si="26"/>
        <v>4.4917458407120155E-4</v>
      </c>
      <c r="O21" s="7">
        <f t="shared" si="27"/>
        <v>4727.6436205992231</v>
      </c>
      <c r="P21" s="11">
        <f t="shared" si="28"/>
        <v>0.68968764993125153</v>
      </c>
      <c r="Q21" s="11">
        <f t="shared" si="29"/>
        <v>1.4645774892350487</v>
      </c>
      <c r="R21" s="7">
        <f t="shared" si="30"/>
        <v>1.4499317192350487</v>
      </c>
      <c r="S21" s="7">
        <f t="shared" si="31"/>
        <v>4.5094109062327635E-3</v>
      </c>
      <c r="T21" s="7">
        <f t="shared" si="32"/>
        <v>1.0101010066927336</v>
      </c>
      <c r="U21" s="19">
        <f t="shared" si="33"/>
        <v>9.999996659548217E-3</v>
      </c>
      <c r="V21" s="7">
        <f t="shared" si="34"/>
        <v>3.0789841707781788E-3</v>
      </c>
      <c r="W21" s="7">
        <f t="shared" si="35"/>
        <v>3.11008501049403E-3</v>
      </c>
      <c r="X21" s="7">
        <f t="shared" si="36"/>
        <v>1.272259635680822</v>
      </c>
      <c r="Y21" s="7">
        <f t="shared" si="37"/>
        <v>6.9104239994758743</v>
      </c>
      <c r="Z21" s="7">
        <f t="shared" si="38"/>
        <v>0.61780085140124386</v>
      </c>
      <c r="AA21" s="7">
        <f t="shared" si="39"/>
        <v>2.0940671791157758E-2</v>
      </c>
    </row>
    <row r="22" spans="2:27" x14ac:dyDescent="0.3">
      <c r="B22" s="6">
        <v>1000</v>
      </c>
      <c r="C22" s="6">
        <v>1E-3</v>
      </c>
      <c r="D22" s="8">
        <f t="shared" si="20"/>
        <v>1.4645774892350487</v>
      </c>
      <c r="E22" s="6">
        <f t="shared" si="21"/>
        <v>0.24409624820584144</v>
      </c>
      <c r="F22" s="6">
        <v>1</v>
      </c>
      <c r="G22" s="13">
        <v>1</v>
      </c>
      <c r="H22" s="7">
        <v>1.4645770000000001E-2</v>
      </c>
      <c r="I22" s="10">
        <v>6</v>
      </c>
      <c r="J22" s="6">
        <f t="shared" si="22"/>
        <v>4.2196469940472898</v>
      </c>
      <c r="K22" s="7">
        <f t="shared" si="23"/>
        <v>3.2196469940472898</v>
      </c>
      <c r="L22" s="6">
        <f t="shared" si="24"/>
        <v>9.5590708603013039E-2</v>
      </c>
      <c r="M22" s="7">
        <f t="shared" si="25"/>
        <v>2.1235373569195253</v>
      </c>
      <c r="N22" s="7">
        <f t="shared" si="26"/>
        <v>3.0152521373947851E-4</v>
      </c>
      <c r="O22" s="7">
        <f t="shared" si="27"/>
        <v>7042.6526875934414</v>
      </c>
      <c r="P22" s="11">
        <f t="shared" si="28"/>
        <v>0.68968764993125153</v>
      </c>
      <c r="Q22" s="11">
        <f t="shared" si="29"/>
        <v>1.4645774892350487</v>
      </c>
      <c r="R22" s="7">
        <f t="shared" si="30"/>
        <v>1.4499317192350487</v>
      </c>
      <c r="S22" s="7">
        <f t="shared" si="31"/>
        <v>4.5094109062327635E-3</v>
      </c>
      <c r="T22" s="7">
        <f t="shared" si="32"/>
        <v>1.0101010066927336</v>
      </c>
      <c r="U22" s="19">
        <f t="shared" si="33"/>
        <v>9.999996659548217E-3</v>
      </c>
      <c r="V22" s="7">
        <f t="shared" si="34"/>
        <v>3.0789841707781788E-3</v>
      </c>
      <c r="W22" s="7">
        <f t="shared" si="35"/>
        <v>3.11008501049403E-3</v>
      </c>
      <c r="X22" s="7">
        <f t="shared" si="36"/>
        <v>1.4338483168700404</v>
      </c>
      <c r="Y22" s="7">
        <f t="shared" si="37"/>
        <v>8.4343275921664187</v>
      </c>
      <c r="Z22" s="7">
        <f t="shared" si="38"/>
        <v>0.48640001344761513</v>
      </c>
      <c r="AA22" s="7">
        <f t="shared" si="39"/>
        <v>1.405720795786659E-2</v>
      </c>
    </row>
    <row r="23" spans="2:27" x14ac:dyDescent="0.3">
      <c r="B23" s="6">
        <v>1000</v>
      </c>
      <c r="C23" s="6">
        <v>1E-3</v>
      </c>
      <c r="D23" s="8">
        <f t="shared" si="20"/>
        <v>1.4645774892350487</v>
      </c>
      <c r="E23" s="6">
        <f t="shared" si="21"/>
        <v>0.14645774892350488</v>
      </c>
      <c r="F23" s="6">
        <v>1</v>
      </c>
      <c r="G23" s="13">
        <v>1</v>
      </c>
      <c r="H23" s="7">
        <v>1.4645770000000001E-2</v>
      </c>
      <c r="I23" s="10">
        <v>10</v>
      </c>
      <c r="J23" s="6">
        <f t="shared" si="22"/>
        <v>4.5746981974299095</v>
      </c>
      <c r="K23" s="7">
        <f t="shared" si="23"/>
        <v>3.5746981974299095</v>
      </c>
      <c r="L23" s="6">
        <f t="shared" si="24"/>
        <v>7.3741403779467196E-2</v>
      </c>
      <c r="M23" s="7">
        <f t="shared" si="25"/>
        <v>2.1235373569195253</v>
      </c>
      <c r="N23" s="7">
        <f t="shared" si="26"/>
        <v>2.1449860277697718E-4</v>
      </c>
      <c r="O23" s="7">
        <f t="shared" si="27"/>
        <v>9900.0055451524422</v>
      </c>
      <c r="P23" s="11">
        <f t="shared" si="28"/>
        <v>0.68968764993125153</v>
      </c>
      <c r="Q23" s="11">
        <f t="shared" si="29"/>
        <v>1.4645774892350487</v>
      </c>
      <c r="R23" s="7">
        <f t="shared" si="30"/>
        <v>1.4499317192350487</v>
      </c>
      <c r="S23" s="7">
        <f t="shared" si="31"/>
        <v>4.5094109062327635E-3</v>
      </c>
      <c r="T23" s="7">
        <f t="shared" si="32"/>
        <v>1.0101010066927336</v>
      </c>
      <c r="U23" s="19">
        <f t="shared" si="33"/>
        <v>9.999996659548217E-3</v>
      </c>
      <c r="V23" s="7">
        <f t="shared" si="34"/>
        <v>3.0789841707781788E-3</v>
      </c>
      <c r="W23" s="7">
        <f t="shared" si="35"/>
        <v>3.11008501049403E-3</v>
      </c>
      <c r="X23" s="7">
        <f t="shared" si="36"/>
        <v>1.5880821370884661</v>
      </c>
      <c r="Y23" s="7">
        <f t="shared" si="37"/>
        <v>10.000001113484174</v>
      </c>
      <c r="Z23" s="7">
        <f t="shared" si="38"/>
        <v>0.39650993947472407</v>
      </c>
      <c r="AA23" s="7">
        <f t="shared" si="39"/>
        <v>9.9999977730320256E-3</v>
      </c>
    </row>
    <row r="24" spans="2:27" x14ac:dyDescent="0.3">
      <c r="B24" s="6">
        <v>1000</v>
      </c>
      <c r="C24" s="6">
        <v>1E-3</v>
      </c>
      <c r="D24" s="8">
        <f t="shared" si="20"/>
        <v>1.4645774892350487</v>
      </c>
      <c r="E24" s="6">
        <f t="shared" si="21"/>
        <v>7.3228874461752441E-2</v>
      </c>
      <c r="F24" s="6">
        <v>1</v>
      </c>
      <c r="G24" s="13">
        <v>1</v>
      </c>
      <c r="H24" s="7">
        <v>1.4645770000000001E-2</v>
      </c>
      <c r="I24" s="10">
        <v>20</v>
      </c>
      <c r="J24" s="6">
        <f t="shared" si="22"/>
        <v>5.1892098955921355</v>
      </c>
      <c r="K24" s="7">
        <f t="shared" si="23"/>
        <v>4.1892098955921355</v>
      </c>
      <c r="L24" s="6">
        <f t="shared" si="24"/>
        <v>6.3294704910709348E-2</v>
      </c>
      <c r="M24" s="7">
        <f t="shared" si="25"/>
        <v>2.1235373569195253</v>
      </c>
      <c r="N24" s="7">
        <f t="shared" si="26"/>
        <v>1.351256524058763E-4</v>
      </c>
      <c r="O24" s="7">
        <f t="shared" si="27"/>
        <v>15715.279216865987</v>
      </c>
      <c r="P24" s="11">
        <f t="shared" si="28"/>
        <v>0.68968764993125153</v>
      </c>
      <c r="Q24" s="11">
        <f t="shared" si="29"/>
        <v>1.4645774892350487</v>
      </c>
      <c r="R24" s="7">
        <f t="shared" si="30"/>
        <v>1.4499317192350487</v>
      </c>
      <c r="S24" s="7">
        <f t="shared" si="31"/>
        <v>4.5094109062327635E-3</v>
      </c>
      <c r="T24" s="7">
        <f t="shared" si="32"/>
        <v>1.0101010066927336</v>
      </c>
      <c r="U24" s="19">
        <f t="shared" si="33"/>
        <v>9.999996659548217E-3</v>
      </c>
      <c r="V24" s="7">
        <f t="shared" si="34"/>
        <v>3.0789841707781788E-3</v>
      </c>
      <c r="W24" s="7">
        <f t="shared" si="35"/>
        <v>3.11008501049403E-3</v>
      </c>
      <c r="X24" s="7">
        <f t="shared" si="36"/>
        <v>1.8242273384736967</v>
      </c>
      <c r="Y24" s="7">
        <f t="shared" si="37"/>
        <v>12.599211901850882</v>
      </c>
      <c r="Z24" s="7">
        <f t="shared" si="38"/>
        <v>0.30049834202393721</v>
      </c>
      <c r="AA24" s="7">
        <f t="shared" si="39"/>
        <v>6.2996038465724493E-3</v>
      </c>
    </row>
    <row r="25" spans="2:27" ht="15" thickBot="1" x14ac:dyDescent="0.35">
      <c r="K25" s="24"/>
    </row>
    <row r="26" spans="2:27" ht="20.399999999999999" thickBot="1" x14ac:dyDescent="0.35">
      <c r="B26" s="12" t="s">
        <v>12</v>
      </c>
      <c r="C26" s="12" t="s">
        <v>14</v>
      </c>
      <c r="D26" s="12" t="s">
        <v>15</v>
      </c>
      <c r="E26" s="12" t="s">
        <v>22</v>
      </c>
      <c r="F26" s="12" t="s">
        <v>13</v>
      </c>
      <c r="G26" s="12" t="s">
        <v>26</v>
      </c>
      <c r="H26" s="12" t="s">
        <v>10</v>
      </c>
      <c r="I26" s="28" t="s">
        <v>8</v>
      </c>
      <c r="J26" s="12" t="s">
        <v>31</v>
      </c>
      <c r="K26" s="12" t="s">
        <v>32</v>
      </c>
      <c r="L26" s="12" t="s">
        <v>33</v>
      </c>
      <c r="M26" s="12" t="s">
        <v>16</v>
      </c>
      <c r="N26" s="12" t="s">
        <v>23</v>
      </c>
      <c r="O26" s="12" t="s">
        <v>24</v>
      </c>
      <c r="P26" s="22" t="s">
        <v>25</v>
      </c>
      <c r="Q26" s="29" t="s">
        <v>9</v>
      </c>
      <c r="R26" s="12" t="s">
        <v>28</v>
      </c>
      <c r="S26" s="12" t="s">
        <v>21</v>
      </c>
      <c r="T26" s="12" t="s">
        <v>6</v>
      </c>
      <c r="U26" s="12" t="s">
        <v>7</v>
      </c>
      <c r="V26" s="12" t="s">
        <v>20</v>
      </c>
      <c r="W26" s="12" t="s">
        <v>19</v>
      </c>
      <c r="X26" s="12" t="s">
        <v>27</v>
      </c>
      <c r="Y26" s="12" t="s">
        <v>11</v>
      </c>
      <c r="Z26" s="12" t="s">
        <v>29</v>
      </c>
      <c r="AA26" s="12" t="s">
        <v>30</v>
      </c>
    </row>
    <row r="27" spans="2:27" x14ac:dyDescent="0.3">
      <c r="B27" s="7">
        <v>1000</v>
      </c>
      <c r="C27" s="7">
        <v>1E-3</v>
      </c>
      <c r="D27" s="8">
        <f t="shared" ref="D27:D32" si="40">(3.1415)^(1/3)</f>
        <v>1.4645774892350487</v>
      </c>
      <c r="E27" s="7">
        <f t="shared" ref="E27:E32" si="41">D27/I27</f>
        <v>1.4645774892350487</v>
      </c>
      <c r="F27" s="7">
        <v>1</v>
      </c>
      <c r="G27" s="14">
        <v>1</v>
      </c>
      <c r="H27" s="7">
        <v>4.393731E-2</v>
      </c>
      <c r="I27" s="9">
        <f>1</f>
        <v>1</v>
      </c>
      <c r="J27" s="7">
        <f t="shared" ref="J27:J32" si="42">K3+1</f>
        <v>2.2941770064723128</v>
      </c>
      <c r="K27" s="7">
        <f t="shared" ref="K27:K32" si="43">J27-1</f>
        <v>1.2941770064723128</v>
      </c>
      <c r="L27" s="7">
        <f t="shared" ref="L27:L32" si="44">L3</f>
        <v>0.30725584908111331</v>
      </c>
      <c r="M27" s="7">
        <f t="shared" ref="M27:M32" si="45">(((Q27-H27)*(D27^G27))/(F27))^(1/G27)</f>
        <v>2.0806376268104971</v>
      </c>
      <c r="N27" s="7">
        <f t="shared" ref="N27:N32" si="46">(((H27^(((2*G27)+3)/3))*(D27^G27)*(1/F27))/((Q27*I27)^(2*G27/3)))^(1/G27)</f>
        <v>6.2128837198173392E-3</v>
      </c>
      <c r="O27" s="7">
        <f t="shared" ref="O27:O32" si="47">M27/N27</f>
        <v>334.89080443817943</v>
      </c>
      <c r="P27" s="11">
        <f t="shared" ref="P27:P32" si="48">(F27+(H27*D27/M27))/Q27</f>
        <v>0.70390800895020122</v>
      </c>
      <c r="Q27" s="11">
        <f t="shared" ref="Q27:Q32" si="49">B27*C27*D27</f>
        <v>1.4645774892350487</v>
      </c>
      <c r="R27" s="7">
        <f t="shared" ref="R27:R32" si="50">F27*((M27/D27)^(G27))</f>
        <v>1.4206401792350487</v>
      </c>
      <c r="S27" s="7">
        <f t="shared" ref="S27:S32" si="51">C27*M27*M27</f>
        <v>4.3290529340996179E-3</v>
      </c>
      <c r="T27" s="7">
        <f t="shared" ref="T27:T32" si="52">Q27/R27</f>
        <v>1.0309278244007278</v>
      </c>
      <c r="U27" s="19">
        <f t="shared" ref="U27:U32" si="53">H27/Q27</f>
        <v>2.9999989978644646E-2</v>
      </c>
      <c r="V27" s="7">
        <f t="shared" ref="V27:V32" si="54">S27/Q27</f>
        <v>2.9558374110752513E-3</v>
      </c>
      <c r="W27" s="7">
        <f t="shared" ref="W27:W32" si="55">S27/R27</f>
        <v>3.0472550314820882E-3</v>
      </c>
      <c r="X27" s="7">
        <f t="shared" ref="X27:X32" si="56">(T27*I27)^((1)/((2*G27)+3))</f>
        <v>1.0061104324205028</v>
      </c>
      <c r="Y27" s="7">
        <f t="shared" ref="Y27:Y32" si="57">((1/U27)*I27)^(1/3)</f>
        <v>3.2182983070378164</v>
      </c>
      <c r="Z27" s="7">
        <f t="shared" ref="Z27:Z32" si="58">((1/T27)*(1/I27))^((2)/((2*G27)+3))</f>
        <v>0.98789024164148809</v>
      </c>
      <c r="AA27" s="7">
        <f t="shared" ref="AA27:AA32" si="59">((U27)*(1/I27))^(2/3)</f>
        <v>9.6548916959423525E-2</v>
      </c>
    </row>
    <row r="28" spans="2:27" x14ac:dyDescent="0.3">
      <c r="B28" s="6">
        <v>1000</v>
      </c>
      <c r="C28" s="6">
        <v>1E-3</v>
      </c>
      <c r="D28" s="8">
        <f t="shared" si="40"/>
        <v>1.4645774892350487</v>
      </c>
      <c r="E28" s="6">
        <f t="shared" si="41"/>
        <v>0.81365416068613816</v>
      </c>
      <c r="F28" s="6">
        <v>1</v>
      </c>
      <c r="G28" s="13">
        <v>1</v>
      </c>
      <c r="H28" s="7">
        <v>4.393731E-2</v>
      </c>
      <c r="I28" s="10">
        <v>1.8</v>
      </c>
      <c r="J28" s="7">
        <f t="shared" si="42"/>
        <v>2.5072077285018848</v>
      </c>
      <c r="K28" s="7">
        <f t="shared" si="43"/>
        <v>1.5072077285018848</v>
      </c>
      <c r="L28" s="6">
        <f t="shared" si="44"/>
        <v>0.27311631029432298</v>
      </c>
      <c r="M28" s="7">
        <f t="shared" si="45"/>
        <v>2.0806376268104971</v>
      </c>
      <c r="N28" s="7">
        <f t="shared" si="46"/>
        <v>4.1986681954376123E-3</v>
      </c>
      <c r="O28" s="7">
        <f t="shared" si="47"/>
        <v>495.54704729260931</v>
      </c>
      <c r="P28" s="11">
        <f t="shared" si="48"/>
        <v>0.70390800895020122</v>
      </c>
      <c r="Q28" s="11">
        <f t="shared" si="49"/>
        <v>1.4645774892350487</v>
      </c>
      <c r="R28" s="7">
        <f t="shared" si="50"/>
        <v>1.4206401792350487</v>
      </c>
      <c r="S28" s="7">
        <f t="shared" si="51"/>
        <v>4.3290529340996179E-3</v>
      </c>
      <c r="T28" s="7">
        <f t="shared" si="52"/>
        <v>1.0309278244007278</v>
      </c>
      <c r="U28" s="19">
        <f t="shared" si="53"/>
        <v>2.9999989978644646E-2</v>
      </c>
      <c r="V28" s="7">
        <f t="shared" si="54"/>
        <v>2.9558374110752513E-3</v>
      </c>
      <c r="W28" s="7">
        <f t="shared" si="55"/>
        <v>3.0472550314820882E-3</v>
      </c>
      <c r="X28" s="7">
        <f t="shared" si="56"/>
        <v>1.1316187982566726</v>
      </c>
      <c r="Y28" s="7">
        <f t="shared" si="57"/>
        <v>3.9148680770831801</v>
      </c>
      <c r="Z28" s="7">
        <f t="shared" si="58"/>
        <v>0.78090767901110736</v>
      </c>
      <c r="AA28" s="7">
        <f t="shared" si="59"/>
        <v>6.5247779489006272E-2</v>
      </c>
    </row>
    <row r="29" spans="2:27" x14ac:dyDescent="0.3">
      <c r="B29" s="6">
        <v>1000</v>
      </c>
      <c r="C29" s="6">
        <v>1E-3</v>
      </c>
      <c r="D29" s="8">
        <f t="shared" si="40"/>
        <v>1.4645774892350487</v>
      </c>
      <c r="E29" s="6">
        <f t="shared" si="41"/>
        <v>0.44381136037425722</v>
      </c>
      <c r="F29" s="6">
        <v>1</v>
      </c>
      <c r="G29" s="13">
        <v>1</v>
      </c>
      <c r="H29" s="7">
        <v>4.393731E-2</v>
      </c>
      <c r="I29" s="10">
        <v>3.3</v>
      </c>
      <c r="J29" s="7">
        <f t="shared" si="42"/>
        <v>2.8390440455094867</v>
      </c>
      <c r="K29" s="7">
        <f t="shared" si="43"/>
        <v>1.8390440455094867</v>
      </c>
      <c r="L29" s="6">
        <f t="shared" si="44"/>
        <v>0.23214886375017452</v>
      </c>
      <c r="M29" s="7">
        <f t="shared" si="45"/>
        <v>2.0806376268104971</v>
      </c>
      <c r="N29" s="7">
        <f t="shared" si="46"/>
        <v>2.8029623581577231E-3</v>
      </c>
      <c r="O29" s="7">
        <f t="shared" si="47"/>
        <v>742.29952491335575</v>
      </c>
      <c r="P29" s="11">
        <f t="shared" si="48"/>
        <v>0.70390800895020122</v>
      </c>
      <c r="Q29" s="11">
        <f t="shared" si="49"/>
        <v>1.4645774892350487</v>
      </c>
      <c r="R29" s="7">
        <f t="shared" si="50"/>
        <v>1.4206401792350487</v>
      </c>
      <c r="S29" s="7">
        <f t="shared" si="51"/>
        <v>4.3290529340996179E-3</v>
      </c>
      <c r="T29" s="7">
        <f t="shared" si="52"/>
        <v>1.0309278244007278</v>
      </c>
      <c r="U29" s="19">
        <f t="shared" si="53"/>
        <v>2.9999989978644646E-2</v>
      </c>
      <c r="V29" s="7">
        <f t="shared" si="54"/>
        <v>2.9558374110752513E-3</v>
      </c>
      <c r="W29" s="7">
        <f t="shared" si="55"/>
        <v>3.0472550314820882E-3</v>
      </c>
      <c r="X29" s="7">
        <f t="shared" si="56"/>
        <v>1.2774633235391115</v>
      </c>
      <c r="Y29" s="7">
        <f t="shared" si="57"/>
        <v>4.7914203905798027</v>
      </c>
      <c r="Z29" s="7">
        <f t="shared" si="58"/>
        <v>0.61277793610757414</v>
      </c>
      <c r="AA29" s="7">
        <f t="shared" si="59"/>
        <v>4.3558352636626586E-2</v>
      </c>
    </row>
    <row r="30" spans="2:27" x14ac:dyDescent="0.3">
      <c r="B30" s="6">
        <v>1000</v>
      </c>
      <c r="C30" s="6">
        <v>1E-3</v>
      </c>
      <c r="D30" s="8">
        <f t="shared" si="40"/>
        <v>1.4645774892350487</v>
      </c>
      <c r="E30" s="6">
        <f t="shared" si="41"/>
        <v>0.24409624820584144</v>
      </c>
      <c r="F30" s="6">
        <v>1</v>
      </c>
      <c r="G30" s="13">
        <v>1</v>
      </c>
      <c r="H30" s="7">
        <v>4.393731E-2</v>
      </c>
      <c r="I30" s="10">
        <v>6</v>
      </c>
      <c r="J30" s="7">
        <f t="shared" si="42"/>
        <v>3.195460830443579</v>
      </c>
      <c r="K30" s="7">
        <f t="shared" si="43"/>
        <v>2.195460830443579</v>
      </c>
      <c r="L30" s="6">
        <f t="shared" si="44"/>
        <v>0.2048372327207422</v>
      </c>
      <c r="M30" s="7">
        <f t="shared" si="45"/>
        <v>2.0806376268104971</v>
      </c>
      <c r="N30" s="7">
        <f t="shared" si="46"/>
        <v>1.8815931580252721E-3</v>
      </c>
      <c r="O30" s="7">
        <f t="shared" si="47"/>
        <v>1105.7850725786661</v>
      </c>
      <c r="P30" s="11">
        <f t="shared" si="48"/>
        <v>0.70390800895020122</v>
      </c>
      <c r="Q30" s="11">
        <f t="shared" si="49"/>
        <v>1.4645774892350487</v>
      </c>
      <c r="R30" s="7">
        <f t="shared" si="50"/>
        <v>1.4206401792350487</v>
      </c>
      <c r="S30" s="7">
        <f t="shared" si="51"/>
        <v>4.3290529340996179E-3</v>
      </c>
      <c r="T30" s="7">
        <f t="shared" si="52"/>
        <v>1.0309278244007278</v>
      </c>
      <c r="U30" s="19">
        <f t="shared" si="53"/>
        <v>2.9999989978644646E-2</v>
      </c>
      <c r="V30" s="7">
        <f t="shared" si="54"/>
        <v>2.9558374110752513E-3</v>
      </c>
      <c r="W30" s="7">
        <f t="shared" si="55"/>
        <v>3.0472550314820882E-3</v>
      </c>
      <c r="X30" s="7">
        <f t="shared" si="56"/>
        <v>1.4397129209711781</v>
      </c>
      <c r="Y30" s="7">
        <f t="shared" si="57"/>
        <v>5.8480361275952291</v>
      </c>
      <c r="Z30" s="7">
        <f t="shared" si="58"/>
        <v>0.48244542830768555</v>
      </c>
      <c r="AA30" s="7">
        <f t="shared" si="59"/>
        <v>2.9240170870434779E-2</v>
      </c>
    </row>
    <row r="31" spans="2:27" x14ac:dyDescent="0.3">
      <c r="B31" s="6">
        <v>1000</v>
      </c>
      <c r="C31" s="6">
        <v>1E-3</v>
      </c>
      <c r="D31" s="8">
        <f t="shared" si="40"/>
        <v>1.4645774892350487</v>
      </c>
      <c r="E31" s="6">
        <f t="shared" si="41"/>
        <v>0.14645774892350488</v>
      </c>
      <c r="F31" s="6">
        <v>1</v>
      </c>
      <c r="G31" s="13">
        <v>1</v>
      </c>
      <c r="H31" s="7">
        <v>4.393731E-2</v>
      </c>
      <c r="I31" s="10">
        <v>10</v>
      </c>
      <c r="J31" s="7">
        <f t="shared" si="42"/>
        <v>3.4139538786790369</v>
      </c>
      <c r="K31" s="7">
        <f t="shared" si="43"/>
        <v>2.4139538786790369</v>
      </c>
      <c r="L31" s="6">
        <f t="shared" si="44"/>
        <v>0.18913304487881866</v>
      </c>
      <c r="M31" s="7">
        <f t="shared" si="45"/>
        <v>2.0806376268104971</v>
      </c>
      <c r="N31" s="7">
        <f t="shared" si="46"/>
        <v>1.3385252211108802E-3</v>
      </c>
      <c r="O31" s="7">
        <f t="shared" si="47"/>
        <v>1554.4254183598548</v>
      </c>
      <c r="P31" s="11">
        <f t="shared" si="48"/>
        <v>0.70390800895020122</v>
      </c>
      <c r="Q31" s="11">
        <f t="shared" si="49"/>
        <v>1.4645774892350487</v>
      </c>
      <c r="R31" s="7">
        <f t="shared" si="50"/>
        <v>1.4206401792350487</v>
      </c>
      <c r="S31" s="7">
        <f t="shared" si="51"/>
        <v>4.3290529340996179E-3</v>
      </c>
      <c r="T31" s="7">
        <f t="shared" si="52"/>
        <v>1.0309278244007278</v>
      </c>
      <c r="U31" s="19">
        <f t="shared" si="53"/>
        <v>2.9999989978644646E-2</v>
      </c>
      <c r="V31" s="7">
        <f t="shared" si="54"/>
        <v>2.9558374110752513E-3</v>
      </c>
      <c r="W31" s="7">
        <f t="shared" si="55"/>
        <v>3.0472550314820882E-3</v>
      </c>
      <c r="X31" s="7">
        <f t="shared" si="56"/>
        <v>1.5945775752073619</v>
      </c>
      <c r="Y31" s="7">
        <f t="shared" si="57"/>
        <v>6.9336135155531551</v>
      </c>
      <c r="Z31" s="7">
        <f t="shared" si="58"/>
        <v>0.39328618891730349</v>
      </c>
      <c r="AA31" s="7">
        <f t="shared" si="59"/>
        <v>2.0800833598238967E-2</v>
      </c>
    </row>
    <row r="32" spans="2:27" x14ac:dyDescent="0.3">
      <c r="B32" s="6">
        <v>1000</v>
      </c>
      <c r="C32" s="6">
        <v>1E-3</v>
      </c>
      <c r="D32" s="8">
        <f t="shared" si="40"/>
        <v>1.4645774892350487</v>
      </c>
      <c r="E32" s="6">
        <f t="shared" si="41"/>
        <v>7.3228874461752441E-2</v>
      </c>
      <c r="F32" s="6">
        <v>1</v>
      </c>
      <c r="G32" s="13">
        <v>1</v>
      </c>
      <c r="H32" s="7">
        <v>4.393731E-2</v>
      </c>
      <c r="I32" s="10">
        <v>20</v>
      </c>
      <c r="J32" s="7">
        <f t="shared" si="42"/>
        <v>3.8782516061793855</v>
      </c>
      <c r="K32" s="7">
        <f t="shared" si="43"/>
        <v>2.8782516061793855</v>
      </c>
      <c r="L32" s="6">
        <f t="shared" si="44"/>
        <v>0.17069769393395184</v>
      </c>
      <c r="M32" s="7">
        <f t="shared" si="45"/>
        <v>2.0806376268104971</v>
      </c>
      <c r="N32" s="7">
        <f t="shared" si="46"/>
        <v>8.432180509463942E-4</v>
      </c>
      <c r="O32" s="7">
        <f t="shared" si="47"/>
        <v>2467.4965443105407</v>
      </c>
      <c r="P32" s="11">
        <f t="shared" si="48"/>
        <v>0.70390800895020122</v>
      </c>
      <c r="Q32" s="11">
        <f t="shared" si="49"/>
        <v>1.4645774892350487</v>
      </c>
      <c r="R32" s="7">
        <f t="shared" si="50"/>
        <v>1.4206401792350487</v>
      </c>
      <c r="S32" s="7">
        <f t="shared" si="51"/>
        <v>4.3290529340996179E-3</v>
      </c>
      <c r="T32" s="7">
        <f t="shared" si="52"/>
        <v>1.0309278244007278</v>
      </c>
      <c r="U32" s="19">
        <f t="shared" si="53"/>
        <v>2.9999989978644646E-2</v>
      </c>
      <c r="V32" s="7">
        <f t="shared" si="54"/>
        <v>2.9558374110752513E-3</v>
      </c>
      <c r="W32" s="7">
        <f t="shared" si="55"/>
        <v>3.0472550314820882E-3</v>
      </c>
      <c r="X32" s="7">
        <f t="shared" si="56"/>
        <v>1.8316886375558574</v>
      </c>
      <c r="Y32" s="7">
        <f t="shared" si="57"/>
        <v>8.7358056200810115</v>
      </c>
      <c r="Z32" s="7">
        <f t="shared" si="58"/>
        <v>0.29805519596084751</v>
      </c>
      <c r="AA32" s="7">
        <f t="shared" si="59"/>
        <v>1.3103704052890902E-2</v>
      </c>
    </row>
    <row r="33" spans="2:27" ht="15" thickBot="1" x14ac:dyDescent="0.35">
      <c r="K33" s="24"/>
    </row>
    <row r="34" spans="2:27" ht="20.399999999999999" thickBot="1" x14ac:dyDescent="0.35">
      <c r="B34" s="12" t="s">
        <v>12</v>
      </c>
      <c r="C34" s="12" t="s">
        <v>14</v>
      </c>
      <c r="D34" s="12" t="s">
        <v>15</v>
      </c>
      <c r="E34" s="12" t="s">
        <v>22</v>
      </c>
      <c r="F34" s="12" t="s">
        <v>13</v>
      </c>
      <c r="G34" s="12" t="s">
        <v>26</v>
      </c>
      <c r="H34" s="12" t="s">
        <v>10</v>
      </c>
      <c r="I34" s="28" t="s">
        <v>8</v>
      </c>
      <c r="J34" s="12" t="s">
        <v>31</v>
      </c>
      <c r="K34" s="12" t="s">
        <v>32</v>
      </c>
      <c r="L34" s="12" t="s">
        <v>33</v>
      </c>
      <c r="M34" s="12" t="s">
        <v>16</v>
      </c>
      <c r="N34" s="12" t="s">
        <v>23</v>
      </c>
      <c r="O34" s="12" t="s">
        <v>24</v>
      </c>
      <c r="P34" s="22" t="s">
        <v>25</v>
      </c>
      <c r="Q34" s="29" t="s">
        <v>9</v>
      </c>
      <c r="R34" s="12" t="s">
        <v>28</v>
      </c>
      <c r="S34" s="12" t="s">
        <v>21</v>
      </c>
      <c r="T34" s="12" t="s">
        <v>6</v>
      </c>
      <c r="U34" s="12" t="s">
        <v>7</v>
      </c>
      <c r="V34" s="12" t="s">
        <v>20</v>
      </c>
      <c r="W34" s="12" t="s">
        <v>19</v>
      </c>
      <c r="X34" s="12" t="s">
        <v>27</v>
      </c>
      <c r="Y34" s="12" t="s">
        <v>11</v>
      </c>
      <c r="Z34" s="12" t="s">
        <v>29</v>
      </c>
      <c r="AA34" s="12" t="s">
        <v>30</v>
      </c>
    </row>
    <row r="35" spans="2:27" x14ac:dyDescent="0.3">
      <c r="B35" s="7">
        <v>1000</v>
      </c>
      <c r="C35" s="7">
        <v>1E-3</v>
      </c>
      <c r="D35" s="8">
        <f t="shared" ref="D35:D40" si="60">(3.1415)^(1/3)</f>
        <v>1.4645774892350487</v>
      </c>
      <c r="E35" s="7">
        <f t="shared" ref="E35:E40" si="61">D35/I35</f>
        <v>1.4645774892350487</v>
      </c>
      <c r="F35" s="7">
        <v>1</v>
      </c>
      <c r="G35" s="14">
        <v>1</v>
      </c>
      <c r="H35" s="7">
        <v>0.1464577</v>
      </c>
      <c r="I35" s="9">
        <f>1</f>
        <v>1</v>
      </c>
      <c r="J35" s="7">
        <f t="shared" ref="J35:J40" si="62">O3+1</f>
        <v>1.6386978617659376</v>
      </c>
      <c r="K35" s="7">
        <f t="shared" ref="K35:K40" si="63">J35-1</f>
        <v>0.63869786176593757</v>
      </c>
      <c r="L35" s="7">
        <f t="shared" ref="L35:L40" si="64">P3</f>
        <v>0.54623262058864597</v>
      </c>
      <c r="M35" s="7">
        <f t="shared" ref="M35:M40" si="65">(((Q35-H35)*(D35^G35))/(F35))^(1/G35)</f>
        <v>1.9304885714288993</v>
      </c>
      <c r="N35" s="7">
        <f t="shared" ref="N35:N40" si="66">(((H35^(((2*G35)+3)/3))*(D35^G35)*(1/F35))/((Q35*I35)^(2*G35/3)))^(1/G35)</f>
        <v>4.6212323078608925E-2</v>
      </c>
      <c r="O35" s="7">
        <f t="shared" ref="O35:O40" si="67">M35/N35</f>
        <v>41.774324310532165</v>
      </c>
      <c r="P35" s="11">
        <f t="shared" ref="P35:P40" si="68">(F35+(H35*D35/M35))/Q35</f>
        <v>0.75865638932584056</v>
      </c>
      <c r="Q35" s="11">
        <f t="shared" ref="Q35:Q40" si="69">B35*C35*D35</f>
        <v>1.4645774892350487</v>
      </c>
      <c r="R35" s="7">
        <f t="shared" ref="R35:R40" si="70">F35*((M35/D35)^(G35))</f>
        <v>1.3181197892350487</v>
      </c>
      <c r="S35" s="7">
        <f t="shared" ref="S35:S40" si="71">C35*M35*M35</f>
        <v>3.7267861244175927E-3</v>
      </c>
      <c r="T35" s="7">
        <f t="shared" ref="T35:T40" si="72">Q35/R35</f>
        <v>1.1111110698709672</v>
      </c>
      <c r="U35" s="19">
        <f t="shared" ref="U35:U40" si="73">H35/Q35</f>
        <v>9.9999966595482159E-2</v>
      </c>
      <c r="V35" s="7">
        <f t="shared" ref="V35:V40" si="74">S35/Q35</f>
        <v>2.5446151888925315E-3</v>
      </c>
      <c r="W35" s="7">
        <f t="shared" ref="W35:W40" si="75">S35/R35</f>
        <v>2.8273501049402936E-3</v>
      </c>
      <c r="X35" s="7">
        <f t="shared" ref="X35:X40" si="76">(T35*I35)^((1)/((2*G35)+3))</f>
        <v>1.0212956800188264</v>
      </c>
      <c r="Y35" s="7">
        <f t="shared" ref="Y35:Y40" si="77">((1/U35)*I35)^(1/3)</f>
        <v>2.1544349299247769</v>
      </c>
      <c r="Z35" s="7">
        <f t="shared" ref="Z35:Z40" si="78">((1/T35)*(1/I35))^((2)/((2*G35)+3))</f>
        <v>0.95873152974794429</v>
      </c>
      <c r="AA35" s="7">
        <f t="shared" ref="AA35:AA40" si="79">((U35)*(1/I35))^(2/3)</f>
        <v>0.21544342102461767</v>
      </c>
    </row>
    <row r="36" spans="2:27" x14ac:dyDescent="0.3">
      <c r="B36" s="6">
        <v>1000</v>
      </c>
      <c r="C36" s="6">
        <v>1E-3</v>
      </c>
      <c r="D36" s="8">
        <f t="shared" si="60"/>
        <v>1.4645774892350487</v>
      </c>
      <c r="E36" s="6">
        <f t="shared" si="61"/>
        <v>0.81365416068613816</v>
      </c>
      <c r="F36" s="6">
        <v>1</v>
      </c>
      <c r="G36" s="13">
        <v>1</v>
      </c>
      <c r="H36" s="7">
        <v>0.1464577</v>
      </c>
      <c r="I36" s="10">
        <v>1.8</v>
      </c>
      <c r="J36" s="7">
        <f t="shared" si="62"/>
        <v>1.7697936907072127</v>
      </c>
      <c r="K36" s="7">
        <f t="shared" si="63"/>
        <v>0.76979369070721271</v>
      </c>
      <c r="L36" s="6">
        <f t="shared" si="64"/>
        <v>0.49160935852978133</v>
      </c>
      <c r="M36" s="7">
        <f t="shared" si="65"/>
        <v>1.9304885714288993</v>
      </c>
      <c r="N36" s="7">
        <f t="shared" si="66"/>
        <v>3.1230298183199768E-2</v>
      </c>
      <c r="O36" s="7">
        <f t="shared" si="67"/>
        <v>61.814605806978783</v>
      </c>
      <c r="P36" s="11">
        <f t="shared" si="68"/>
        <v>0.75865638932584056</v>
      </c>
      <c r="Q36" s="11">
        <f t="shared" si="69"/>
        <v>1.4645774892350487</v>
      </c>
      <c r="R36" s="7">
        <f t="shared" si="70"/>
        <v>1.3181197892350487</v>
      </c>
      <c r="S36" s="7">
        <f t="shared" si="71"/>
        <v>3.7267861244175927E-3</v>
      </c>
      <c r="T36" s="7">
        <f t="shared" si="72"/>
        <v>1.1111110698709672</v>
      </c>
      <c r="U36" s="19">
        <f t="shared" si="73"/>
        <v>9.9999966595482159E-2</v>
      </c>
      <c r="V36" s="7">
        <f t="shared" si="74"/>
        <v>2.5446151888925315E-3</v>
      </c>
      <c r="W36" s="7">
        <f t="shared" si="75"/>
        <v>2.8273501049402936E-3</v>
      </c>
      <c r="X36" s="7">
        <f t="shared" si="76"/>
        <v>1.1486983464699876</v>
      </c>
      <c r="Y36" s="7">
        <f t="shared" si="77"/>
        <v>2.6207416860243038</v>
      </c>
      <c r="Z36" s="7">
        <f t="shared" si="78"/>
        <v>0.75785829450670583</v>
      </c>
      <c r="AA36" s="7">
        <f t="shared" si="79"/>
        <v>0.1455967116987878</v>
      </c>
    </row>
    <row r="37" spans="2:27" x14ac:dyDescent="0.3">
      <c r="B37" s="6">
        <v>1000</v>
      </c>
      <c r="C37" s="6">
        <v>1E-3</v>
      </c>
      <c r="D37" s="8">
        <f t="shared" si="60"/>
        <v>1.4645774892350487</v>
      </c>
      <c r="E37" s="6">
        <f t="shared" si="61"/>
        <v>0.44381136037425722</v>
      </c>
      <c r="F37" s="6">
        <v>1</v>
      </c>
      <c r="G37" s="13">
        <v>1</v>
      </c>
      <c r="H37" s="7">
        <v>0.1464577</v>
      </c>
      <c r="I37" s="10">
        <v>3.3</v>
      </c>
      <c r="J37" s="7">
        <f t="shared" si="62"/>
        <v>1.9828244127367844</v>
      </c>
      <c r="K37" s="7">
        <f t="shared" si="63"/>
        <v>0.98282441273678445</v>
      </c>
      <c r="L37" s="6">
        <f t="shared" si="64"/>
        <v>0.44108284112533158</v>
      </c>
      <c r="M37" s="7">
        <f t="shared" si="65"/>
        <v>1.9304885714288993</v>
      </c>
      <c r="N37" s="7">
        <f t="shared" si="66"/>
        <v>2.0848837337675542E-2</v>
      </c>
      <c r="O37" s="7">
        <f t="shared" si="67"/>
        <v>92.594543290927291</v>
      </c>
      <c r="P37" s="11">
        <f t="shared" si="68"/>
        <v>0.75865638932584056</v>
      </c>
      <c r="Q37" s="11">
        <f t="shared" si="69"/>
        <v>1.4645774892350487</v>
      </c>
      <c r="R37" s="7">
        <f t="shared" si="70"/>
        <v>1.3181197892350487</v>
      </c>
      <c r="S37" s="7">
        <f t="shared" si="71"/>
        <v>3.7267861244175927E-3</v>
      </c>
      <c r="T37" s="7">
        <f t="shared" si="72"/>
        <v>1.1111110698709672</v>
      </c>
      <c r="U37" s="19">
        <f t="shared" si="73"/>
        <v>9.9999966595482159E-2</v>
      </c>
      <c r="V37" s="7">
        <f t="shared" si="74"/>
        <v>2.5446151888925315E-3</v>
      </c>
      <c r="W37" s="7">
        <f t="shared" si="75"/>
        <v>2.8273501049402936E-3</v>
      </c>
      <c r="X37" s="7">
        <f t="shared" si="76"/>
        <v>1.2967441064836336</v>
      </c>
      <c r="Y37" s="7">
        <f t="shared" si="77"/>
        <v>3.2075346871496984</v>
      </c>
      <c r="Z37" s="7">
        <f t="shared" si="78"/>
        <v>0.59469109352069749</v>
      </c>
      <c r="AA37" s="7">
        <f t="shared" si="79"/>
        <v>9.7197988354187928E-2</v>
      </c>
    </row>
    <row r="38" spans="2:27" x14ac:dyDescent="0.3">
      <c r="B38" s="6">
        <v>1000</v>
      </c>
      <c r="C38" s="6">
        <v>1E-3</v>
      </c>
      <c r="D38" s="8">
        <f t="shared" si="60"/>
        <v>1.4645774892350487</v>
      </c>
      <c r="E38" s="6">
        <f t="shared" si="61"/>
        <v>0.24409624820584144</v>
      </c>
      <c r="F38" s="6">
        <v>1</v>
      </c>
      <c r="G38" s="13">
        <v>1</v>
      </c>
      <c r="H38" s="7">
        <v>0.1464577</v>
      </c>
      <c r="I38" s="10">
        <v>6</v>
      </c>
      <c r="J38" s="7">
        <f t="shared" si="62"/>
        <v>2.0975332630604004</v>
      </c>
      <c r="K38" s="7">
        <f t="shared" si="63"/>
        <v>1.0975332630604004</v>
      </c>
      <c r="L38" s="6">
        <f t="shared" si="64"/>
        <v>0.4069433023385412</v>
      </c>
      <c r="M38" s="7">
        <f t="shared" si="65"/>
        <v>1.9304885714288993</v>
      </c>
      <c r="N38" s="7">
        <f t="shared" si="66"/>
        <v>1.3995560651458704E-2</v>
      </c>
      <c r="O38" s="7">
        <f t="shared" si="67"/>
        <v>137.93577974510737</v>
      </c>
      <c r="P38" s="11">
        <f t="shared" si="68"/>
        <v>0.75865638932584056</v>
      </c>
      <c r="Q38" s="11">
        <f t="shared" si="69"/>
        <v>1.4645774892350487</v>
      </c>
      <c r="R38" s="7">
        <f t="shared" si="70"/>
        <v>1.3181197892350487</v>
      </c>
      <c r="S38" s="7">
        <f t="shared" si="71"/>
        <v>3.7267861244175927E-3</v>
      </c>
      <c r="T38" s="7">
        <f t="shared" si="72"/>
        <v>1.1111110698709672</v>
      </c>
      <c r="U38" s="19">
        <f t="shared" si="73"/>
        <v>9.9999966595482159E-2</v>
      </c>
      <c r="V38" s="7">
        <f t="shared" si="74"/>
        <v>2.5446151888925315E-3</v>
      </c>
      <c r="W38" s="7">
        <f t="shared" si="75"/>
        <v>2.8273501049402936E-3</v>
      </c>
      <c r="X38" s="7">
        <f t="shared" si="76"/>
        <v>1.4614425407733069</v>
      </c>
      <c r="Y38" s="7">
        <f t="shared" si="77"/>
        <v>3.9148680770831801</v>
      </c>
      <c r="Z38" s="7">
        <f t="shared" si="78"/>
        <v>0.46820549895581098</v>
      </c>
      <c r="AA38" s="7">
        <f t="shared" si="79"/>
        <v>6.5247779489006272E-2</v>
      </c>
    </row>
    <row r="39" spans="2:27" x14ac:dyDescent="0.3">
      <c r="B39" s="6">
        <v>1000</v>
      </c>
      <c r="C39" s="6">
        <v>1E-3</v>
      </c>
      <c r="D39" s="8">
        <f t="shared" si="60"/>
        <v>1.4645774892350487</v>
      </c>
      <c r="E39" s="6">
        <f t="shared" si="61"/>
        <v>0.14645774892350488</v>
      </c>
      <c r="F39" s="6">
        <v>1</v>
      </c>
      <c r="G39" s="13">
        <v>1</v>
      </c>
      <c r="H39" s="7">
        <v>0.1464577</v>
      </c>
      <c r="I39" s="10">
        <v>10</v>
      </c>
      <c r="J39" s="7">
        <f t="shared" si="62"/>
        <v>2.1849304823545834</v>
      </c>
      <c r="K39" s="7">
        <f t="shared" si="63"/>
        <v>1.1849304823545834</v>
      </c>
      <c r="L39" s="6">
        <f t="shared" si="64"/>
        <v>0.38236283441205215</v>
      </c>
      <c r="M39" s="7">
        <f t="shared" si="65"/>
        <v>1.9304885714288993</v>
      </c>
      <c r="N39" s="7">
        <f t="shared" si="66"/>
        <v>9.9561431947516061E-3</v>
      </c>
      <c r="O39" s="7">
        <f t="shared" si="67"/>
        <v>193.89923725148498</v>
      </c>
      <c r="P39" s="11">
        <f t="shared" si="68"/>
        <v>0.75865638932584056</v>
      </c>
      <c r="Q39" s="11">
        <f t="shared" si="69"/>
        <v>1.4645774892350487</v>
      </c>
      <c r="R39" s="7">
        <f t="shared" si="70"/>
        <v>1.3181197892350487</v>
      </c>
      <c r="S39" s="7">
        <f t="shared" si="71"/>
        <v>3.7267861244175927E-3</v>
      </c>
      <c r="T39" s="7">
        <f t="shared" si="72"/>
        <v>1.1111110698709672</v>
      </c>
      <c r="U39" s="19">
        <f t="shared" si="73"/>
        <v>9.9999966595482159E-2</v>
      </c>
      <c r="V39" s="7">
        <f t="shared" si="74"/>
        <v>2.5446151888925315E-3</v>
      </c>
      <c r="W39" s="7">
        <f t="shared" si="75"/>
        <v>2.8273501049402936E-3</v>
      </c>
      <c r="X39" s="7">
        <f t="shared" si="76"/>
        <v>1.6186445707517816</v>
      </c>
      <c r="Y39" s="7">
        <f t="shared" si="77"/>
        <v>4.641589350446349</v>
      </c>
      <c r="Z39" s="7">
        <f t="shared" si="78"/>
        <v>0.3816778966283802</v>
      </c>
      <c r="AA39" s="7">
        <f t="shared" si="79"/>
        <v>4.6415877999458108E-2</v>
      </c>
    </row>
    <row r="40" spans="2:27" x14ac:dyDescent="0.3">
      <c r="B40" s="6">
        <v>1000</v>
      </c>
      <c r="C40" s="6">
        <v>1E-3</v>
      </c>
      <c r="D40" s="8">
        <f t="shared" si="60"/>
        <v>1.4645774892350487</v>
      </c>
      <c r="E40" s="6">
        <f t="shared" si="61"/>
        <v>7.3228874461752441E-2</v>
      </c>
      <c r="F40" s="6">
        <v>1</v>
      </c>
      <c r="G40" s="13">
        <v>1</v>
      </c>
      <c r="H40" s="7">
        <v>0.1464577</v>
      </c>
      <c r="I40" s="10">
        <v>20</v>
      </c>
      <c r="J40" s="7">
        <f t="shared" si="62"/>
        <v>2.3488002685311771</v>
      </c>
      <c r="K40" s="7">
        <f t="shared" si="63"/>
        <v>1.3488002685311771</v>
      </c>
      <c r="L40" s="6">
        <f t="shared" si="64"/>
        <v>0.36734143734586439</v>
      </c>
      <c r="M40" s="7">
        <f t="shared" si="65"/>
        <v>1.9304885714288993</v>
      </c>
      <c r="N40" s="7">
        <f t="shared" si="66"/>
        <v>6.2719771934175743E-3</v>
      </c>
      <c r="O40" s="7">
        <f t="shared" si="67"/>
        <v>307.79585318883852</v>
      </c>
      <c r="P40" s="11">
        <f t="shared" si="68"/>
        <v>0.75865638932584056</v>
      </c>
      <c r="Q40" s="11">
        <f t="shared" si="69"/>
        <v>1.4645774892350487</v>
      </c>
      <c r="R40" s="7">
        <f t="shared" si="70"/>
        <v>1.3181197892350487</v>
      </c>
      <c r="S40" s="7">
        <f t="shared" si="71"/>
        <v>3.7267861244175927E-3</v>
      </c>
      <c r="T40" s="7">
        <f t="shared" si="72"/>
        <v>1.1111110698709672</v>
      </c>
      <c r="U40" s="19">
        <f t="shared" si="73"/>
        <v>9.9999966595482159E-2</v>
      </c>
      <c r="V40" s="7">
        <f t="shared" si="74"/>
        <v>2.5446151888925315E-3</v>
      </c>
      <c r="W40" s="7">
        <f t="shared" si="75"/>
        <v>2.8273501049402936E-3</v>
      </c>
      <c r="X40" s="7">
        <f t="shared" si="76"/>
        <v>1.8593343557474533</v>
      </c>
      <c r="Y40" s="7">
        <f t="shared" si="77"/>
        <v>5.8480361275952273</v>
      </c>
      <c r="Z40" s="7">
        <f t="shared" si="78"/>
        <v>0.28925775549523952</v>
      </c>
      <c r="AA40" s="7">
        <f t="shared" si="79"/>
        <v>2.9240170870434793E-2</v>
      </c>
    </row>
    <row r="41" spans="2:27" ht="15" thickBot="1" x14ac:dyDescent="0.35">
      <c r="K41" s="24"/>
    </row>
    <row r="42" spans="2:27" ht="20.399999999999999" thickBot="1" x14ac:dyDescent="0.35">
      <c r="B42" s="12" t="s">
        <v>12</v>
      </c>
      <c r="C42" s="12" t="s">
        <v>14</v>
      </c>
      <c r="D42" s="12" t="s">
        <v>15</v>
      </c>
      <c r="E42" s="12" t="s">
        <v>22</v>
      </c>
      <c r="F42" s="12" t="s">
        <v>13</v>
      </c>
      <c r="G42" s="12" t="s">
        <v>26</v>
      </c>
      <c r="H42" s="12" t="s">
        <v>10</v>
      </c>
      <c r="I42" s="28" t="s">
        <v>8</v>
      </c>
      <c r="J42" s="12" t="s">
        <v>31</v>
      </c>
      <c r="K42" s="12" t="s">
        <v>32</v>
      </c>
      <c r="L42" s="12" t="s">
        <v>33</v>
      </c>
      <c r="M42" s="12" t="s">
        <v>16</v>
      </c>
      <c r="N42" s="12" t="s">
        <v>23</v>
      </c>
      <c r="O42" s="12" t="s">
        <v>24</v>
      </c>
      <c r="P42" s="22" t="s">
        <v>25</v>
      </c>
      <c r="Q42" s="29" t="s">
        <v>9</v>
      </c>
      <c r="R42" s="12" t="s">
        <v>28</v>
      </c>
      <c r="S42" s="12" t="s">
        <v>21</v>
      </c>
      <c r="T42" s="12" t="s">
        <v>6</v>
      </c>
      <c r="U42" s="12" t="s">
        <v>7</v>
      </c>
      <c r="V42" s="12" t="s">
        <v>20</v>
      </c>
      <c r="W42" s="12" t="s">
        <v>19</v>
      </c>
      <c r="X42" s="12" t="s">
        <v>27</v>
      </c>
      <c r="Y42" s="12" t="s">
        <v>11</v>
      </c>
      <c r="Z42" s="12" t="s">
        <v>29</v>
      </c>
      <c r="AA42" s="12" t="s">
        <v>30</v>
      </c>
    </row>
    <row r="43" spans="2:27" x14ac:dyDescent="0.3">
      <c r="B43" s="7">
        <v>1000</v>
      </c>
      <c r="C43" s="7">
        <v>1E-3</v>
      </c>
      <c r="D43" s="8">
        <f t="shared" ref="D43:D48" si="80">(3.1415)^(1/3)</f>
        <v>1.4645774892350487</v>
      </c>
      <c r="E43" s="7">
        <f t="shared" ref="E43:E48" si="81">D43/I43</f>
        <v>1.4645774892350487</v>
      </c>
      <c r="F43" s="7">
        <v>1</v>
      </c>
      <c r="G43" s="14">
        <v>1</v>
      </c>
      <c r="H43" s="7">
        <v>0.43937310000000002</v>
      </c>
      <c r="I43" s="9">
        <f>1</f>
        <v>1</v>
      </c>
      <c r="J43" s="7">
        <f t="shared" ref="J43:J48" si="82">S3+1</f>
        <v>1.1470885032361564</v>
      </c>
      <c r="K43" s="7">
        <f t="shared" ref="K43:K48" si="83">J43-1</f>
        <v>0.14708850323615641</v>
      </c>
      <c r="L43" s="7">
        <f t="shared" ref="L43:L48" si="84">T3</f>
        <v>0.75106985330938814</v>
      </c>
      <c r="M43" s="7">
        <f t="shared" ref="M43:M48" si="85">(((Q43-H43)*(D43^G43))/(F43))^(1/G43)</f>
        <v>1.5014912703386192</v>
      </c>
      <c r="N43" s="7">
        <f t="shared" ref="N43:N48" si="86">(((H43^(((2*G43)+3)/3))*(D43^G43)*(1/F43))/((Q43*I43)^(2*G43/3)))^(1/G43)</f>
        <v>0.28837651698438782</v>
      </c>
      <c r="O43" s="7">
        <f t="shared" ref="O43:O48" si="87">M43/N43</f>
        <v>5.206704367054642</v>
      </c>
      <c r="P43" s="11">
        <f t="shared" ref="P43:P48" si="88">(F43+(H43*D43/M43))/Q43</f>
        <v>0.97541525426568376</v>
      </c>
      <c r="Q43" s="11">
        <f t="shared" ref="Q43:Q48" si="89">B43*C43*D43</f>
        <v>1.4645774892350487</v>
      </c>
      <c r="R43" s="7">
        <f t="shared" ref="R43:R48" si="90">F43*((M43/D43)^(G43))</f>
        <v>1.0252043892350486</v>
      </c>
      <c r="S43" s="7">
        <f t="shared" ref="S43:S48" si="91">C43*M43*M43</f>
        <v>2.2544760349030805E-3</v>
      </c>
      <c r="T43" s="7">
        <f t="shared" ref="T43:T48" si="92">Q43/R43</f>
        <v>1.4285712240540018</v>
      </c>
      <c r="U43" s="19">
        <f t="shared" ref="U43:U48" si="93">H43/Q43</f>
        <v>0.29999989978644648</v>
      </c>
      <c r="V43" s="7">
        <f t="shared" ref="V43:V48" si="94">S43/Q43</f>
        <v>1.5393354407492615E-3</v>
      </c>
      <c r="W43" s="7">
        <f t="shared" ref="W43:W48" si="95">S43/R43</f>
        <v>2.1990503148208787E-3</v>
      </c>
      <c r="X43" s="7">
        <f t="shared" ref="X43:X48" si="96">(T43*I43)^((1)/((2*G43)+3))</f>
        <v>1.0739408930362289</v>
      </c>
      <c r="Y43" s="7">
        <f t="shared" ref="Y43:Y48" si="97">((1/U43)*I43)^(1/3)</f>
        <v>1.4938017485181641</v>
      </c>
      <c r="Z43" s="7">
        <f t="shared" ref="Z43:Z48" si="98">((1/T43)*(1/I43))^((2)/((2*G43)+3))</f>
        <v>0.86704021403207887</v>
      </c>
      <c r="AA43" s="7">
        <f t="shared" ref="AA43:AA48" si="99">((U43)*(1/I43))^(2/3)</f>
        <v>0.44814037485626773</v>
      </c>
    </row>
    <row r="44" spans="2:27" x14ac:dyDescent="0.3">
      <c r="B44" s="6">
        <v>1000</v>
      </c>
      <c r="C44" s="6">
        <v>1E-3</v>
      </c>
      <c r="D44" s="8">
        <f t="shared" si="80"/>
        <v>1.4645774892350487</v>
      </c>
      <c r="E44" s="6">
        <f t="shared" si="81"/>
        <v>0.81365416068613816</v>
      </c>
      <c r="F44" s="6">
        <v>1</v>
      </c>
      <c r="G44" s="13">
        <v>1</v>
      </c>
      <c r="H44" s="7">
        <v>0.43937310000000002</v>
      </c>
      <c r="I44" s="10">
        <v>1.8</v>
      </c>
      <c r="J44" s="7">
        <f t="shared" si="82"/>
        <v>1.1798624604714751</v>
      </c>
      <c r="K44" s="7">
        <f t="shared" si="83"/>
        <v>0.17986246047147514</v>
      </c>
      <c r="L44" s="6">
        <f t="shared" si="84"/>
        <v>0.68279077573580738</v>
      </c>
      <c r="M44" s="7">
        <f t="shared" si="85"/>
        <v>1.5014912703386192</v>
      </c>
      <c r="N44" s="7">
        <f t="shared" si="86"/>
        <v>0.19488491411988337</v>
      </c>
      <c r="O44" s="7">
        <f t="shared" si="87"/>
        <v>7.7045023064996068</v>
      </c>
      <c r="P44" s="11">
        <f t="shared" si="88"/>
        <v>0.97541525426568376</v>
      </c>
      <c r="Q44" s="11">
        <f t="shared" si="89"/>
        <v>1.4645774892350487</v>
      </c>
      <c r="R44" s="7">
        <f t="shared" si="90"/>
        <v>1.0252043892350486</v>
      </c>
      <c r="S44" s="7">
        <f t="shared" si="91"/>
        <v>2.2544760349030805E-3</v>
      </c>
      <c r="T44" s="7">
        <f t="shared" si="92"/>
        <v>1.4285712240540018</v>
      </c>
      <c r="U44" s="19">
        <f t="shared" si="93"/>
        <v>0.29999989978644648</v>
      </c>
      <c r="V44" s="7">
        <f t="shared" si="94"/>
        <v>1.5393354407492615E-3</v>
      </c>
      <c r="W44" s="7">
        <f t="shared" si="95"/>
        <v>2.1990503148208787E-3</v>
      </c>
      <c r="X44" s="7">
        <f t="shared" si="96"/>
        <v>1.2079108451868485</v>
      </c>
      <c r="Y44" s="7">
        <f t="shared" si="97"/>
        <v>1.8171207951656423</v>
      </c>
      <c r="Z44" s="7">
        <f t="shared" si="98"/>
        <v>0.68537812462247272</v>
      </c>
      <c r="AA44" s="7">
        <f t="shared" si="99"/>
        <v>0.30285336469420038</v>
      </c>
    </row>
    <row r="45" spans="2:27" x14ac:dyDescent="0.3">
      <c r="B45" s="6">
        <v>1000</v>
      </c>
      <c r="C45" s="6">
        <v>1E-3</v>
      </c>
      <c r="D45" s="8">
        <f t="shared" si="80"/>
        <v>1.4645774892350487</v>
      </c>
      <c r="E45" s="6">
        <f t="shared" si="81"/>
        <v>0.44381136037425722</v>
      </c>
      <c r="F45" s="6">
        <v>1</v>
      </c>
      <c r="G45" s="13">
        <v>1</v>
      </c>
      <c r="H45" s="7">
        <v>0.43937310000000002</v>
      </c>
      <c r="I45" s="10">
        <v>3.3</v>
      </c>
      <c r="J45" s="7">
        <f t="shared" si="82"/>
        <v>1.261797353559772</v>
      </c>
      <c r="K45" s="7">
        <f t="shared" si="83"/>
        <v>0.26179735355977196</v>
      </c>
      <c r="L45" s="6">
        <f t="shared" si="84"/>
        <v>0.65069960927622439</v>
      </c>
      <c r="M45" s="7">
        <f t="shared" si="85"/>
        <v>1.5014912703386192</v>
      </c>
      <c r="N45" s="7">
        <f t="shared" si="86"/>
        <v>0.1301019878266183</v>
      </c>
      <c r="O45" s="7">
        <f t="shared" si="87"/>
        <v>11.540878778421098</v>
      </c>
      <c r="P45" s="11">
        <f t="shared" si="88"/>
        <v>0.97541525426568376</v>
      </c>
      <c r="Q45" s="11">
        <f t="shared" si="89"/>
        <v>1.4645774892350487</v>
      </c>
      <c r="R45" s="7">
        <f t="shared" si="90"/>
        <v>1.0252043892350486</v>
      </c>
      <c r="S45" s="7">
        <f t="shared" si="91"/>
        <v>2.2544760349030805E-3</v>
      </c>
      <c r="T45" s="7">
        <f t="shared" si="92"/>
        <v>1.4285712240540018</v>
      </c>
      <c r="U45" s="19">
        <f t="shared" si="93"/>
        <v>0.29999989978644648</v>
      </c>
      <c r="V45" s="7">
        <f t="shared" si="94"/>
        <v>1.5393354407492615E-3</v>
      </c>
      <c r="W45" s="7">
        <f t="shared" si="95"/>
        <v>2.1990503148208787E-3</v>
      </c>
      <c r="X45" s="7">
        <f t="shared" si="96"/>
        <v>1.3635879902388588</v>
      </c>
      <c r="Y45" s="7">
        <f t="shared" si="97"/>
        <v>2.2239803382059793</v>
      </c>
      <c r="Z45" s="7">
        <f t="shared" si="98"/>
        <v>0.53781593387746007</v>
      </c>
      <c r="AA45" s="7">
        <f t="shared" si="99"/>
        <v>0.20217996320873369</v>
      </c>
    </row>
    <row r="46" spans="2:27" x14ac:dyDescent="0.3">
      <c r="B46" s="6">
        <v>1000</v>
      </c>
      <c r="C46" s="6">
        <v>1E-3</v>
      </c>
      <c r="D46" s="8">
        <f t="shared" si="80"/>
        <v>1.4645774892350487</v>
      </c>
      <c r="E46" s="6">
        <f t="shared" si="81"/>
        <v>0.24409624820584144</v>
      </c>
      <c r="F46" s="6">
        <v>1</v>
      </c>
      <c r="G46" s="13">
        <v>1</v>
      </c>
      <c r="H46" s="7">
        <v>0.43937310000000002</v>
      </c>
      <c r="I46" s="10">
        <v>6</v>
      </c>
      <c r="J46" s="7">
        <f t="shared" si="82"/>
        <v>1.3519257359568988</v>
      </c>
      <c r="K46" s="7">
        <f t="shared" si="83"/>
        <v>0.3519257359568988</v>
      </c>
      <c r="L46" s="6">
        <f t="shared" si="84"/>
        <v>0.61178053505928343</v>
      </c>
      <c r="M46" s="7">
        <f t="shared" si="85"/>
        <v>1.5014912703386192</v>
      </c>
      <c r="N46" s="7">
        <f t="shared" si="86"/>
        <v>8.7335817916923075E-2</v>
      </c>
      <c r="O46" s="7">
        <f t="shared" si="87"/>
        <v>17.192159026516372</v>
      </c>
      <c r="P46" s="11">
        <f t="shared" si="88"/>
        <v>0.97541525426568376</v>
      </c>
      <c r="Q46" s="11">
        <f t="shared" si="89"/>
        <v>1.4645774892350487</v>
      </c>
      <c r="R46" s="7">
        <f t="shared" si="90"/>
        <v>1.0252043892350486</v>
      </c>
      <c r="S46" s="7">
        <f t="shared" si="91"/>
        <v>2.2544760349030805E-3</v>
      </c>
      <c r="T46" s="7">
        <f t="shared" si="92"/>
        <v>1.4285712240540018</v>
      </c>
      <c r="U46" s="19">
        <f t="shared" si="93"/>
        <v>0.29999989978644648</v>
      </c>
      <c r="V46" s="7">
        <f t="shared" si="94"/>
        <v>1.5393354407492615E-3</v>
      </c>
      <c r="W46" s="7">
        <f t="shared" si="95"/>
        <v>2.1990503148208787E-3</v>
      </c>
      <c r="X46" s="7">
        <f t="shared" si="96"/>
        <v>1.5367762128694098</v>
      </c>
      <c r="Y46" s="7">
        <f t="shared" si="97"/>
        <v>2.7144179188410127</v>
      </c>
      <c r="Z46" s="7">
        <f t="shared" si="98"/>
        <v>0.42342718835206122</v>
      </c>
      <c r="AA46" s="7">
        <f t="shared" si="99"/>
        <v>0.13572085060513978</v>
      </c>
    </row>
    <row r="47" spans="2:27" x14ac:dyDescent="0.3">
      <c r="B47" s="6">
        <v>1000</v>
      </c>
      <c r="C47" s="6">
        <v>1E-3</v>
      </c>
      <c r="D47" s="8">
        <f t="shared" si="80"/>
        <v>1.4645774892350487</v>
      </c>
      <c r="E47" s="6">
        <f t="shared" si="81"/>
        <v>0.14645774892350488</v>
      </c>
      <c r="F47" s="6">
        <v>1</v>
      </c>
      <c r="G47" s="13">
        <v>1</v>
      </c>
      <c r="H47" s="7">
        <v>0.43937310000000002</v>
      </c>
      <c r="I47" s="10">
        <v>10</v>
      </c>
      <c r="J47" s="7">
        <f t="shared" si="82"/>
        <v>1.4202048135304792</v>
      </c>
      <c r="K47" s="7">
        <f t="shared" si="83"/>
        <v>0.42020481353047923</v>
      </c>
      <c r="L47" s="6">
        <f t="shared" si="84"/>
        <v>0.60700099962913279</v>
      </c>
      <c r="M47" s="7">
        <f t="shared" si="85"/>
        <v>1.5014912703386192</v>
      </c>
      <c r="N47" s="7">
        <f t="shared" si="86"/>
        <v>6.2128837198173373E-2</v>
      </c>
      <c r="O47" s="7">
        <f t="shared" si="87"/>
        <v>24.16738085004372</v>
      </c>
      <c r="P47" s="11">
        <f t="shared" si="88"/>
        <v>0.97541525426568376</v>
      </c>
      <c r="Q47" s="11">
        <f t="shared" si="89"/>
        <v>1.4645774892350487</v>
      </c>
      <c r="R47" s="7">
        <f t="shared" si="90"/>
        <v>1.0252043892350486</v>
      </c>
      <c r="S47" s="7">
        <f t="shared" si="91"/>
        <v>2.2544760349030805E-3</v>
      </c>
      <c r="T47" s="7">
        <f t="shared" si="92"/>
        <v>1.4285712240540018</v>
      </c>
      <c r="U47" s="19">
        <f t="shared" si="93"/>
        <v>0.29999989978644648</v>
      </c>
      <c r="V47" s="7">
        <f t="shared" si="94"/>
        <v>1.5393354407492615E-3</v>
      </c>
      <c r="W47" s="7">
        <f t="shared" si="95"/>
        <v>2.1990503148208787E-3</v>
      </c>
      <c r="X47" s="7">
        <f t="shared" si="96"/>
        <v>1.702081610478728</v>
      </c>
      <c r="Y47" s="7">
        <f t="shared" si="97"/>
        <v>3.2182983070378164</v>
      </c>
      <c r="Z47" s="7">
        <f t="shared" si="98"/>
        <v>0.34517492636440961</v>
      </c>
      <c r="AA47" s="7">
        <f t="shared" si="99"/>
        <v>9.6548916959423525E-2</v>
      </c>
    </row>
    <row r="48" spans="2:27" x14ac:dyDescent="0.3">
      <c r="B48" s="6">
        <v>1000</v>
      </c>
      <c r="C48" s="6">
        <v>1E-3</v>
      </c>
      <c r="D48" s="8">
        <f t="shared" si="80"/>
        <v>1.4645774892350487</v>
      </c>
      <c r="E48" s="6">
        <f t="shared" si="81"/>
        <v>7.3228874461752441E-2</v>
      </c>
      <c r="F48" s="6">
        <v>1</v>
      </c>
      <c r="G48" s="13">
        <v>1</v>
      </c>
      <c r="H48" s="7">
        <v>0.43937310000000002</v>
      </c>
      <c r="I48" s="10">
        <v>20</v>
      </c>
      <c r="J48" s="7">
        <f t="shared" si="82"/>
        <v>1.502139706618776</v>
      </c>
      <c r="K48" s="7">
        <f t="shared" si="83"/>
        <v>0.50213970661877605</v>
      </c>
      <c r="L48" s="6">
        <f t="shared" si="84"/>
        <v>0.59402797489015247</v>
      </c>
      <c r="M48" s="7">
        <f t="shared" si="85"/>
        <v>1.5014912703386192</v>
      </c>
      <c r="N48" s="7">
        <f t="shared" si="86"/>
        <v>3.9138714895735144E-2</v>
      </c>
      <c r="O48" s="7">
        <f t="shared" si="87"/>
        <v>38.363325784675503</v>
      </c>
      <c r="P48" s="11">
        <f t="shared" si="88"/>
        <v>0.97541525426568376</v>
      </c>
      <c r="Q48" s="11">
        <f t="shared" si="89"/>
        <v>1.4645774892350487</v>
      </c>
      <c r="R48" s="7">
        <f t="shared" si="90"/>
        <v>1.0252043892350486</v>
      </c>
      <c r="S48" s="7">
        <f t="shared" si="91"/>
        <v>2.2544760349030805E-3</v>
      </c>
      <c r="T48" s="7">
        <f t="shared" si="92"/>
        <v>1.4285712240540018</v>
      </c>
      <c r="U48" s="19">
        <f t="shared" si="93"/>
        <v>0.29999989978644648</v>
      </c>
      <c r="V48" s="7">
        <f t="shared" si="94"/>
        <v>1.5393354407492615E-3</v>
      </c>
      <c r="W48" s="7">
        <f t="shared" si="95"/>
        <v>2.1990503148208787E-3</v>
      </c>
      <c r="X48" s="7">
        <f t="shared" si="96"/>
        <v>1.9551783460276189</v>
      </c>
      <c r="Y48" s="7">
        <f t="shared" si="97"/>
        <v>4.0548017818779787</v>
      </c>
      <c r="Z48" s="7">
        <f t="shared" si="98"/>
        <v>0.26159367711727122</v>
      </c>
      <c r="AA48" s="7">
        <f t="shared" si="99"/>
        <v>6.0822006410864909E-2</v>
      </c>
    </row>
    <row r="50" spans="2:21" x14ac:dyDescent="0.3">
      <c r="J50" s="17"/>
    </row>
    <row r="51" spans="2:21" x14ac:dyDescent="0.3">
      <c r="J51" s="17"/>
    </row>
    <row r="52" spans="2:21" x14ac:dyDescent="0.3">
      <c r="J52" s="17"/>
    </row>
    <row r="53" spans="2:21" x14ac:dyDescent="0.3">
      <c r="J53" s="17"/>
    </row>
    <row r="54" spans="2:21" x14ac:dyDescent="0.3">
      <c r="J54" s="17"/>
    </row>
    <row r="55" spans="2:21" x14ac:dyDescent="0.3">
      <c r="J55" s="17"/>
    </row>
    <row r="62" spans="2:21" x14ac:dyDescent="0.3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2:21" x14ac:dyDescent="0.3">
      <c r="B63" s="17"/>
      <c r="C63" s="17"/>
      <c r="D63" s="18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2:21" x14ac:dyDescent="0.3">
      <c r="B64" s="17"/>
      <c r="C64" s="17"/>
      <c r="D64" s="18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2:27" x14ac:dyDescent="0.3">
      <c r="B65" s="17"/>
      <c r="C65" s="17"/>
      <c r="D65" s="18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2:27" x14ac:dyDescent="0.3">
      <c r="B66" s="17"/>
      <c r="C66" s="17"/>
      <c r="D66" s="18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2:27" x14ac:dyDescent="0.3">
      <c r="B67" s="17"/>
      <c r="C67" s="17"/>
      <c r="D67" s="18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2:27" x14ac:dyDescent="0.3">
      <c r="B68" s="17"/>
      <c r="C68" s="17"/>
      <c r="D68" s="18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2:27" x14ac:dyDescent="0.3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2:27" x14ac:dyDescent="0.3">
      <c r="B70" s="17"/>
      <c r="C70" s="17"/>
      <c r="D70" s="18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2:27" x14ac:dyDescent="0.3">
      <c r="B71" s="17"/>
      <c r="C71" s="17"/>
      <c r="D71" s="18"/>
      <c r="E71" s="17"/>
      <c r="F71" s="17"/>
      <c r="G71" s="18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2:27" x14ac:dyDescent="0.3">
      <c r="B72" s="17"/>
      <c r="C72" s="17"/>
      <c r="D72" s="18"/>
      <c r="E72" s="17"/>
      <c r="F72" s="17"/>
      <c r="G72" s="18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2:27" x14ac:dyDescent="0.3">
      <c r="B73" s="17"/>
      <c r="C73" s="17"/>
      <c r="D73" s="18"/>
      <c r="E73" s="17"/>
      <c r="F73" s="17"/>
      <c r="G73" s="18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2:27" x14ac:dyDescent="0.3">
      <c r="B74" s="17"/>
      <c r="C74" s="17"/>
      <c r="D74" s="18"/>
      <c r="E74" s="17"/>
      <c r="F74" s="17"/>
      <c r="G74" s="18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2:27" x14ac:dyDescent="0.3">
      <c r="B75" s="17"/>
      <c r="C75" s="17"/>
      <c r="D75" s="18"/>
      <c r="E75" s="17"/>
      <c r="F75" s="17"/>
      <c r="G75" s="18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2:27" x14ac:dyDescent="0.3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2:27" x14ac:dyDescent="0.3">
      <c r="B77" s="17"/>
      <c r="C77" s="17"/>
      <c r="D77" s="18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2:27" x14ac:dyDescent="0.3">
      <c r="B78" s="17"/>
      <c r="C78" s="17"/>
      <c r="D78" s="18"/>
      <c r="E78" s="17"/>
      <c r="F78" s="17"/>
      <c r="G78" s="18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2:27" x14ac:dyDescent="0.3">
      <c r="B79" s="17"/>
      <c r="C79" s="17"/>
      <c r="D79" s="18"/>
      <c r="E79" s="17"/>
      <c r="F79" s="17"/>
      <c r="G79" s="18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2:27" x14ac:dyDescent="0.3">
      <c r="B80" s="17"/>
      <c r="C80" s="17"/>
      <c r="D80" s="18"/>
      <c r="E80" s="17"/>
      <c r="F80" s="17"/>
      <c r="G80" s="18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2:27" x14ac:dyDescent="0.3">
      <c r="B81" s="17"/>
      <c r="C81" s="17"/>
      <c r="D81" s="18"/>
      <c r="E81" s="17"/>
      <c r="F81" s="17"/>
      <c r="G81" s="18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2:27" x14ac:dyDescent="0.3">
      <c r="B82" s="17"/>
      <c r="C82" s="17"/>
      <c r="D82" s="18"/>
      <c r="E82" s="17"/>
      <c r="F82" s="17"/>
      <c r="G82" s="18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2:27" x14ac:dyDescent="0.3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2:27" x14ac:dyDescent="0.3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2:27" x14ac:dyDescent="0.3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2:27" x14ac:dyDescent="0.3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2:27" x14ac:dyDescent="0.3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 spans="2:27" x14ac:dyDescent="0.3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  <row r="89" spans="2:27" x14ac:dyDescent="0.3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7"/>
      <c r="Z89" s="17"/>
      <c r="AA89" s="17"/>
    </row>
    <row r="90" spans="2:27" x14ac:dyDescent="0.3">
      <c r="B90" s="17"/>
      <c r="C90" s="17"/>
      <c r="D90" s="18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25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2:27" x14ac:dyDescent="0.3">
      <c r="B91" s="17"/>
      <c r="C91" s="17"/>
      <c r="D91" s="18"/>
      <c r="E91" s="17"/>
      <c r="F91" s="17"/>
      <c r="G91" s="18"/>
      <c r="H91" s="17"/>
      <c r="I91" s="17"/>
      <c r="J91" s="17"/>
      <c r="K91" s="17"/>
      <c r="L91" s="17"/>
      <c r="M91" s="17"/>
      <c r="N91" s="17"/>
      <c r="O91" s="25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2:27" x14ac:dyDescent="0.3">
      <c r="B92" s="17"/>
      <c r="C92" s="17"/>
      <c r="D92" s="18"/>
      <c r="E92" s="17"/>
      <c r="F92" s="17"/>
      <c r="G92" s="18"/>
      <c r="H92" s="17"/>
      <c r="I92" s="17"/>
      <c r="J92" s="17"/>
      <c r="K92" s="17"/>
      <c r="L92" s="17"/>
      <c r="M92" s="17"/>
      <c r="N92" s="17"/>
      <c r="O92" s="25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 spans="2:27" x14ac:dyDescent="0.3">
      <c r="B93" s="17"/>
      <c r="C93" s="17"/>
      <c r="D93" s="18"/>
      <c r="E93" s="17"/>
      <c r="F93" s="17"/>
      <c r="G93" s="18"/>
      <c r="H93" s="17"/>
      <c r="I93" s="17"/>
      <c r="J93" s="17"/>
      <c r="K93" s="17"/>
      <c r="L93" s="17"/>
      <c r="M93" s="17"/>
      <c r="N93" s="17"/>
      <c r="O93" s="25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2:27" x14ac:dyDescent="0.3">
      <c r="B94" s="17"/>
      <c r="C94" s="17"/>
      <c r="D94" s="18"/>
      <c r="E94" s="17"/>
      <c r="F94" s="17"/>
      <c r="G94" s="18"/>
      <c r="H94" s="17"/>
      <c r="I94" s="17"/>
      <c r="J94" s="17"/>
      <c r="K94" s="17"/>
      <c r="L94" s="17"/>
      <c r="M94" s="17"/>
      <c r="N94" s="17"/>
      <c r="O94" s="25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 spans="2:27" x14ac:dyDescent="0.3">
      <c r="B95" s="17"/>
      <c r="C95" s="17"/>
      <c r="D95" s="18"/>
      <c r="E95" s="17"/>
      <c r="F95" s="17"/>
      <c r="G95" s="18"/>
      <c r="H95" s="17"/>
      <c r="I95" s="17"/>
      <c r="J95" s="17"/>
      <c r="K95" s="17"/>
      <c r="L95" s="17"/>
      <c r="M95" s="17"/>
      <c r="N95" s="17"/>
      <c r="O95" s="25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</row>
    <row r="96" spans="2:27" x14ac:dyDescent="0.3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 spans="2:27" x14ac:dyDescent="0.3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7"/>
      <c r="Z97" s="17"/>
      <c r="AA97" s="17"/>
    </row>
    <row r="98" spans="2:27" x14ac:dyDescent="0.3">
      <c r="B98" s="17"/>
      <c r="C98" s="17"/>
      <c r="D98" s="18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25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 spans="2:27" x14ac:dyDescent="0.3">
      <c r="B99" s="17"/>
      <c r="C99" s="17"/>
      <c r="D99" s="18"/>
      <c r="E99" s="17"/>
      <c r="F99" s="17"/>
      <c r="G99" s="18"/>
      <c r="H99" s="17"/>
      <c r="I99" s="17"/>
      <c r="J99" s="17"/>
      <c r="K99" s="17"/>
      <c r="L99" s="17"/>
      <c r="M99" s="17"/>
      <c r="N99" s="17"/>
      <c r="O99" s="25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 spans="2:27" x14ac:dyDescent="0.3">
      <c r="B100" s="17"/>
      <c r="C100" s="17"/>
      <c r="D100" s="18"/>
      <c r="E100" s="17"/>
      <c r="F100" s="17"/>
      <c r="G100" s="18"/>
      <c r="H100" s="17"/>
      <c r="I100" s="17"/>
      <c r="J100" s="17"/>
      <c r="K100" s="17"/>
      <c r="L100" s="17"/>
      <c r="M100" s="17"/>
      <c r="N100" s="17"/>
      <c r="O100" s="25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  <row r="101" spans="2:27" x14ac:dyDescent="0.3">
      <c r="B101" s="17"/>
      <c r="C101" s="17"/>
      <c r="D101" s="18"/>
      <c r="E101" s="17"/>
      <c r="F101" s="17"/>
      <c r="G101" s="18"/>
      <c r="H101" s="17"/>
      <c r="I101" s="17"/>
      <c r="J101" s="17"/>
      <c r="K101" s="17"/>
      <c r="L101" s="17"/>
      <c r="M101" s="17"/>
      <c r="N101" s="17"/>
      <c r="O101" s="25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</row>
    <row r="102" spans="2:27" x14ac:dyDescent="0.3">
      <c r="B102" s="17"/>
      <c r="C102" s="17"/>
      <c r="D102" s="18"/>
      <c r="E102" s="17"/>
      <c r="F102" s="17"/>
      <c r="G102" s="18"/>
      <c r="H102" s="17"/>
      <c r="I102" s="17"/>
      <c r="J102" s="17"/>
      <c r="K102" s="17"/>
      <c r="L102" s="17"/>
      <c r="M102" s="17"/>
      <c r="N102" s="17"/>
      <c r="O102" s="25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</row>
    <row r="103" spans="2:27" x14ac:dyDescent="0.3">
      <c r="B103" s="17"/>
      <c r="C103" s="17"/>
      <c r="D103" s="18"/>
      <c r="E103" s="17"/>
      <c r="F103" s="17"/>
      <c r="G103" s="18"/>
      <c r="H103" s="17"/>
      <c r="I103" s="17"/>
      <c r="J103" s="17"/>
      <c r="K103" s="17"/>
      <c r="L103" s="17"/>
      <c r="M103" s="17"/>
      <c r="N103" s="17"/>
      <c r="O103" s="25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</row>
    <row r="104" spans="2:27" x14ac:dyDescent="0.3"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</row>
    <row r="105" spans="2:27" x14ac:dyDescent="0.3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7"/>
      <c r="Z105" s="17"/>
      <c r="AA105" s="17"/>
    </row>
    <row r="106" spans="2:27" x14ac:dyDescent="0.3">
      <c r="B106" s="17"/>
      <c r="C106" s="17"/>
      <c r="D106" s="18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26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</row>
    <row r="107" spans="2:27" x14ac:dyDescent="0.3">
      <c r="B107" s="17"/>
      <c r="C107" s="17"/>
      <c r="D107" s="18"/>
      <c r="E107" s="17"/>
      <c r="F107" s="17"/>
      <c r="G107" s="18"/>
      <c r="H107" s="17"/>
      <c r="I107" s="17"/>
      <c r="J107" s="17"/>
      <c r="K107" s="17"/>
      <c r="L107" s="17"/>
      <c r="M107" s="17"/>
      <c r="N107" s="17"/>
      <c r="O107" s="26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</row>
    <row r="108" spans="2:27" x14ac:dyDescent="0.3">
      <c r="B108" s="17"/>
      <c r="C108" s="17"/>
      <c r="D108" s="18"/>
      <c r="E108" s="17"/>
      <c r="F108" s="17"/>
      <c r="G108" s="18"/>
      <c r="H108" s="17"/>
      <c r="I108" s="17"/>
      <c r="J108" s="17"/>
      <c r="K108" s="17"/>
      <c r="L108" s="17"/>
      <c r="M108" s="17"/>
      <c r="N108" s="17"/>
      <c r="O108" s="26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</row>
    <row r="109" spans="2:27" x14ac:dyDescent="0.3">
      <c r="B109" s="17"/>
      <c r="C109" s="17"/>
      <c r="D109" s="18"/>
      <c r="E109" s="17"/>
      <c r="F109" s="17"/>
      <c r="G109" s="18"/>
      <c r="H109" s="17"/>
      <c r="I109" s="17"/>
      <c r="J109" s="17"/>
      <c r="K109" s="17"/>
      <c r="L109" s="17"/>
      <c r="M109" s="17"/>
      <c r="N109" s="17"/>
      <c r="O109" s="26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 spans="2:27" x14ac:dyDescent="0.3">
      <c r="B110" s="17"/>
      <c r="C110" s="17"/>
      <c r="D110" s="18"/>
      <c r="E110" s="17"/>
      <c r="F110" s="17"/>
      <c r="G110" s="18"/>
      <c r="H110" s="17"/>
      <c r="I110" s="17"/>
      <c r="J110" s="17"/>
      <c r="K110" s="17"/>
      <c r="L110" s="17"/>
      <c r="M110" s="17"/>
      <c r="N110" s="17"/>
      <c r="O110" s="26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 spans="2:27" x14ac:dyDescent="0.3">
      <c r="B111" s="17"/>
      <c r="C111" s="17"/>
      <c r="D111" s="18"/>
      <c r="E111" s="17"/>
      <c r="F111" s="17"/>
      <c r="G111" s="18"/>
      <c r="H111" s="17"/>
      <c r="I111" s="17"/>
      <c r="J111" s="17"/>
      <c r="K111" s="17"/>
      <c r="L111" s="17"/>
      <c r="M111" s="17"/>
      <c r="N111" s="17"/>
      <c r="O111" s="26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 spans="2:27" x14ac:dyDescent="0.3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</row>
    <row r="113" spans="2:27" x14ac:dyDescent="0.3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7"/>
      <c r="Z113" s="17"/>
      <c r="AA113" s="17"/>
    </row>
    <row r="114" spans="2:27" x14ac:dyDescent="0.3">
      <c r="B114" s="17"/>
      <c r="C114" s="17"/>
      <c r="D114" s="18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26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</row>
    <row r="115" spans="2:27" x14ac:dyDescent="0.3">
      <c r="B115" s="17"/>
      <c r="C115" s="17"/>
      <c r="D115" s="18"/>
      <c r="E115" s="17"/>
      <c r="F115" s="17"/>
      <c r="G115" s="18"/>
      <c r="H115" s="17"/>
      <c r="I115" s="17"/>
      <c r="J115" s="17"/>
      <c r="K115" s="17"/>
      <c r="L115" s="17"/>
      <c r="M115" s="17"/>
      <c r="N115" s="17"/>
      <c r="O115" s="26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 spans="2:27" x14ac:dyDescent="0.3">
      <c r="B116" s="17"/>
      <c r="C116" s="17"/>
      <c r="D116" s="18"/>
      <c r="E116" s="17"/>
      <c r="F116" s="17"/>
      <c r="G116" s="18"/>
      <c r="H116" s="17"/>
      <c r="I116" s="17"/>
      <c r="J116" s="17"/>
      <c r="K116" s="17"/>
      <c r="L116" s="17"/>
      <c r="M116" s="17"/>
      <c r="N116" s="17"/>
      <c r="O116" s="26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2:27" x14ac:dyDescent="0.3">
      <c r="B117" s="17"/>
      <c r="C117" s="17"/>
      <c r="D117" s="18"/>
      <c r="E117" s="17"/>
      <c r="F117" s="17"/>
      <c r="G117" s="18"/>
      <c r="H117" s="17"/>
      <c r="I117" s="17"/>
      <c r="J117" s="17"/>
      <c r="K117" s="17"/>
      <c r="L117" s="17"/>
      <c r="M117" s="17"/>
      <c r="N117" s="17"/>
      <c r="O117" s="26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2:27" x14ac:dyDescent="0.3">
      <c r="B118" s="17"/>
      <c r="C118" s="17"/>
      <c r="D118" s="18"/>
      <c r="E118" s="17"/>
      <c r="F118" s="17"/>
      <c r="G118" s="18"/>
      <c r="H118" s="17"/>
      <c r="I118" s="17"/>
      <c r="J118" s="17"/>
      <c r="K118" s="17"/>
      <c r="L118" s="17"/>
      <c r="M118" s="17"/>
      <c r="N118" s="17"/>
      <c r="O118" s="26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2:27" x14ac:dyDescent="0.3">
      <c r="B119" s="17"/>
      <c r="C119" s="17"/>
      <c r="D119" s="18"/>
      <c r="E119" s="17"/>
      <c r="F119" s="17"/>
      <c r="G119" s="18"/>
      <c r="H119" s="17"/>
      <c r="I119" s="17"/>
      <c r="J119" s="17"/>
      <c r="K119" s="17"/>
      <c r="L119" s="17"/>
      <c r="M119" s="17"/>
      <c r="N119" s="17"/>
      <c r="O119" s="26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 spans="2:27" x14ac:dyDescent="0.3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2:27" x14ac:dyDescent="0.3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7"/>
      <c r="Z121" s="17"/>
      <c r="AA121" s="17"/>
    </row>
    <row r="122" spans="2:27" x14ac:dyDescent="0.3">
      <c r="B122" s="17"/>
      <c r="C122" s="17"/>
      <c r="D122" s="18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2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2:27" x14ac:dyDescent="0.3">
      <c r="B123" s="17"/>
      <c r="C123" s="17"/>
      <c r="D123" s="18"/>
      <c r="E123" s="17"/>
      <c r="F123" s="17"/>
      <c r="G123" s="18"/>
      <c r="H123" s="17"/>
      <c r="I123" s="17"/>
      <c r="J123" s="17"/>
      <c r="K123" s="17"/>
      <c r="L123" s="17"/>
      <c r="M123" s="17"/>
      <c r="N123" s="17"/>
      <c r="O123" s="2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2:27" x14ac:dyDescent="0.3">
      <c r="B124" s="17"/>
      <c r="C124" s="17"/>
      <c r="D124" s="18"/>
      <c r="E124" s="17"/>
      <c r="F124" s="17"/>
      <c r="G124" s="18"/>
      <c r="H124" s="17"/>
      <c r="I124" s="17"/>
      <c r="J124" s="17"/>
      <c r="K124" s="17"/>
      <c r="L124" s="17"/>
      <c r="M124" s="17"/>
      <c r="N124" s="17"/>
      <c r="O124" s="2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 spans="2:27" x14ac:dyDescent="0.3">
      <c r="B125" s="17"/>
      <c r="C125" s="17"/>
      <c r="D125" s="18"/>
      <c r="E125" s="17"/>
      <c r="F125" s="17"/>
      <c r="G125" s="18"/>
      <c r="H125" s="17"/>
      <c r="I125" s="17"/>
      <c r="J125" s="17"/>
      <c r="K125" s="17"/>
      <c r="L125" s="17"/>
      <c r="M125" s="17"/>
      <c r="N125" s="17"/>
      <c r="O125" s="2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2:27" x14ac:dyDescent="0.3">
      <c r="B126" s="17"/>
      <c r="C126" s="17"/>
      <c r="D126" s="18"/>
      <c r="E126" s="17"/>
      <c r="F126" s="17"/>
      <c r="G126" s="18"/>
      <c r="H126" s="17"/>
      <c r="I126" s="17"/>
      <c r="J126" s="17"/>
      <c r="K126" s="17"/>
      <c r="L126" s="17"/>
      <c r="M126" s="17"/>
      <c r="N126" s="17"/>
      <c r="O126" s="2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2:27" x14ac:dyDescent="0.3">
      <c r="B127" s="17"/>
      <c r="C127" s="17"/>
      <c r="D127" s="18"/>
      <c r="E127" s="17"/>
      <c r="F127" s="17"/>
      <c r="G127" s="18"/>
      <c r="H127" s="17"/>
      <c r="I127" s="17"/>
      <c r="J127" s="17"/>
      <c r="K127" s="17"/>
      <c r="L127" s="17"/>
      <c r="M127" s="17"/>
      <c r="N127" s="17"/>
      <c r="O127" s="2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2:27" x14ac:dyDescent="0.3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2:27" x14ac:dyDescent="0.3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2:27" x14ac:dyDescent="0.3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</row>
    <row r="131" spans="2:27" x14ac:dyDescent="0.3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</row>
    <row r="132" spans="2:27" x14ac:dyDescent="0.3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</row>
    <row r="133" spans="2:27" x14ac:dyDescent="0.3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</row>
    <row r="134" spans="2:27" x14ac:dyDescent="0.3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</row>
    <row r="135" spans="2:27" x14ac:dyDescent="0.3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</row>
    <row r="136" spans="2:27" x14ac:dyDescent="0.3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</row>
    <row r="137" spans="2:27" x14ac:dyDescent="0.3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</row>
    <row r="138" spans="2:27" x14ac:dyDescent="0.3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</row>
    <row r="139" spans="2:27" x14ac:dyDescent="0.3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</row>
  </sheetData>
  <mergeCells count="5">
    <mergeCell ref="F1:H1"/>
    <mergeCell ref="J1:L1"/>
    <mergeCell ref="B1:D1"/>
    <mergeCell ref="N1:P1"/>
    <mergeCell ref="R1:T1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present_work_cylinder_3D</vt:lpstr>
      <vt:lpstr>present_work_cube_3D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Anselmo</dc:creator>
  <cp:lastModifiedBy>Administrateur</cp:lastModifiedBy>
  <dcterms:created xsi:type="dcterms:W3CDTF">2017-05-08T10:52:38Z</dcterms:created>
  <dcterms:modified xsi:type="dcterms:W3CDTF">2021-05-24T06:16:28Z</dcterms:modified>
</cp:coreProperties>
</file>