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eur\Documents\My_scientific_works\Bingham_dambreaks\Grapher_results\"/>
    </mc:Choice>
  </mc:AlternateContent>
  <xr:revisionPtr revIDLastSave="0" documentId="13_ncr:1_{A31977E4-803F-4E31-B325-FA31CBD0BCB1}" xr6:coauthVersionLast="36" xr6:coauthVersionMax="36" xr10:uidLastSave="{00000000-0000-0000-0000-000000000000}"/>
  <bookViews>
    <workbookView xWindow="252" yWindow="432" windowWidth="27792" windowHeight="12348" tabRatio="902" xr2:uid="{00000000-000D-0000-FFFF-FFFF00000000}"/>
  </bookViews>
  <sheets>
    <sheet name="experiments_present_work" sheetId="28" r:id="rId1"/>
    <sheet name="experiments_Pashias_et_al_1996" sheetId="34" r:id="rId2"/>
    <sheet name="experiments_Clayton_et_al_2003" sheetId="35" r:id="rId3"/>
    <sheet name="experiments_Saak_et_al_2004" sheetId="33" r:id="rId4"/>
    <sheet name="experiments_RousselCoussot_2005" sheetId="32" r:id="rId5"/>
    <sheet name="experiments_Pierre_et_al_2013" sheetId="30" r:id="rId6"/>
    <sheet name="experiments_Gao_Fourie_2015" sheetId="26" r:id="rId7"/>
    <sheet name="experiments_Liu_et_al_2018" sheetId="27" r:id="rId8"/>
  </sheets>
  <calcPr calcId="191029"/>
</workbook>
</file>

<file path=xl/calcChain.xml><?xml version="1.0" encoding="utf-8"?>
<calcChain xmlns="http://schemas.openxmlformats.org/spreadsheetml/2006/main">
  <c r="J44" i="28" l="1"/>
  <c r="J33" i="28"/>
  <c r="J29" i="28"/>
  <c r="D28" i="28"/>
  <c r="I28" i="28" s="1"/>
  <c r="E45" i="28"/>
  <c r="D45" i="28"/>
  <c r="E44" i="28"/>
  <c r="D44" i="28"/>
  <c r="E43" i="28"/>
  <c r="J43" i="28" s="1"/>
  <c r="D43" i="28"/>
  <c r="E42" i="28"/>
  <c r="J42" i="28" s="1"/>
  <c r="D42" i="28"/>
  <c r="E41" i="28"/>
  <c r="D41" i="28"/>
  <c r="E40" i="28"/>
  <c r="J40" i="28" s="1"/>
  <c r="D40" i="28"/>
  <c r="E39" i="28"/>
  <c r="J39" i="28" s="1"/>
  <c r="D39" i="28"/>
  <c r="E38" i="28"/>
  <c r="J38" i="28" s="1"/>
  <c r="D38" i="28"/>
  <c r="E34" i="28"/>
  <c r="J34" i="28" s="1"/>
  <c r="D34" i="28"/>
  <c r="E33" i="28"/>
  <c r="D33" i="28"/>
  <c r="Q33" i="28" s="1"/>
  <c r="E32" i="28"/>
  <c r="J32" i="28" s="1"/>
  <c r="D32" i="28"/>
  <c r="Q32" i="28" s="1"/>
  <c r="M32" i="28" s="1"/>
  <c r="E31" i="28"/>
  <c r="J31" i="28" s="1"/>
  <c r="D31" i="28"/>
  <c r="Q31" i="28" s="1"/>
  <c r="M31" i="28" s="1"/>
  <c r="E30" i="28"/>
  <c r="J30" i="28" s="1"/>
  <c r="D30" i="28"/>
  <c r="Q30" i="28" s="1"/>
  <c r="M30" i="28" s="1"/>
  <c r="E29" i="28"/>
  <c r="D29" i="28"/>
  <c r="Q29" i="28" s="1"/>
  <c r="M29" i="28" s="1"/>
  <c r="E28" i="28"/>
  <c r="J28" i="28" s="1"/>
  <c r="J41" i="28" l="1"/>
  <c r="K41" i="28" s="1"/>
  <c r="K31" i="28"/>
  <c r="K30" i="28"/>
  <c r="K39" i="28"/>
  <c r="J45" i="28"/>
  <c r="K45" i="28" s="1"/>
  <c r="K44" i="28"/>
  <c r="K43" i="28"/>
  <c r="K42" i="28"/>
  <c r="K40" i="28"/>
  <c r="K38" i="28"/>
  <c r="K33" i="28"/>
  <c r="K34" i="28"/>
  <c r="K32" i="28"/>
  <c r="K29" i="28"/>
  <c r="K28" i="28"/>
  <c r="Q28" i="28"/>
  <c r="M28" i="28" s="1"/>
  <c r="R28" i="28" s="1"/>
  <c r="T28" i="28" s="1"/>
  <c r="U30" i="28"/>
  <c r="U32" i="28"/>
  <c r="U28" i="28"/>
  <c r="AA28" i="28" s="1"/>
  <c r="Q38" i="28"/>
  <c r="Q39" i="28"/>
  <c r="Q40" i="28"/>
  <c r="Q41" i="28"/>
  <c r="Q42" i="28"/>
  <c r="Q43" i="28"/>
  <c r="Q44" i="28"/>
  <c r="Q45" i="28"/>
  <c r="I38" i="28"/>
  <c r="I39" i="28"/>
  <c r="I40" i="28"/>
  <c r="I41" i="28"/>
  <c r="I42" i="28"/>
  <c r="I43" i="28"/>
  <c r="I44" i="28"/>
  <c r="I45" i="28"/>
  <c r="S30" i="28"/>
  <c r="R30" i="28"/>
  <c r="S32" i="28"/>
  <c r="R32" i="28"/>
  <c r="T32" i="28" s="1"/>
  <c r="S31" i="28"/>
  <c r="R31" i="28"/>
  <c r="T31" i="28" s="1"/>
  <c r="N28" i="28"/>
  <c r="O28" i="28" s="1"/>
  <c r="U29" i="28"/>
  <c r="U31" i="28"/>
  <c r="U33" i="28"/>
  <c r="S29" i="28"/>
  <c r="R29" i="28"/>
  <c r="T29" i="28" s="1"/>
  <c r="T30" i="28"/>
  <c r="M33" i="28"/>
  <c r="P33" i="28" s="1"/>
  <c r="P29" i="28"/>
  <c r="P30" i="28"/>
  <c r="P31" i="28"/>
  <c r="P32" i="28"/>
  <c r="Q34" i="28"/>
  <c r="I29" i="28"/>
  <c r="N29" i="28" s="1"/>
  <c r="O29" i="28" s="1"/>
  <c r="I30" i="28"/>
  <c r="N30" i="28" s="1"/>
  <c r="O30" i="28" s="1"/>
  <c r="I31" i="28"/>
  <c r="N31" i="28" s="1"/>
  <c r="O31" i="28" s="1"/>
  <c r="I32" i="28"/>
  <c r="N32" i="28" s="1"/>
  <c r="O32" i="28" s="1"/>
  <c r="I33" i="28"/>
  <c r="N33" i="28" s="1"/>
  <c r="I34" i="28"/>
  <c r="E18" i="28"/>
  <c r="E19" i="28"/>
  <c r="J19" i="28" s="1"/>
  <c r="K19" i="28" s="1"/>
  <c r="E20" i="28"/>
  <c r="J20" i="28" s="1"/>
  <c r="K20" i="28" s="1"/>
  <c r="E21" i="28"/>
  <c r="E22" i="28"/>
  <c r="J22" i="28" s="1"/>
  <c r="K22" i="28" s="1"/>
  <c r="E23" i="28"/>
  <c r="J23" i="28" s="1"/>
  <c r="K23" i="28" s="1"/>
  <c r="E24" i="28"/>
  <c r="E17" i="28"/>
  <c r="J17" i="28" s="1"/>
  <c r="K17" i="28" s="1"/>
  <c r="J24" i="28"/>
  <c r="K24" i="28" s="1"/>
  <c r="J18" i="28"/>
  <c r="K18" i="28" s="1"/>
  <c r="D24" i="28"/>
  <c r="D23" i="28"/>
  <c r="Q23" i="28" s="1"/>
  <c r="U23" i="28" s="1"/>
  <c r="D22" i="28"/>
  <c r="D21" i="28"/>
  <c r="D20" i="28"/>
  <c r="D19" i="28"/>
  <c r="D18" i="28"/>
  <c r="Q18" i="28" s="1"/>
  <c r="M18" i="28" s="1"/>
  <c r="S18" i="28" s="1"/>
  <c r="D17" i="28"/>
  <c r="Q21" i="28"/>
  <c r="U21" i="28" s="1"/>
  <c r="Q19" i="28"/>
  <c r="U19" i="28" s="1"/>
  <c r="I19" i="28"/>
  <c r="S28" i="28" l="1"/>
  <c r="I23" i="28"/>
  <c r="P28" i="28"/>
  <c r="Y28" i="28"/>
  <c r="I21" i="28"/>
  <c r="N21" i="28" s="1"/>
  <c r="O21" i="28" s="1"/>
  <c r="AA32" i="28"/>
  <c r="M23" i="28"/>
  <c r="R23" i="28" s="1"/>
  <c r="T23" i="28" s="1"/>
  <c r="X23" i="28" s="1"/>
  <c r="N44" i="28"/>
  <c r="M21" i="28"/>
  <c r="S21" i="28" s="1"/>
  <c r="N43" i="28"/>
  <c r="N42" i="28"/>
  <c r="M19" i="28"/>
  <c r="S19" i="28" s="1"/>
  <c r="V19" i="28" s="1"/>
  <c r="U45" i="28"/>
  <c r="M45" i="28"/>
  <c r="U41" i="28"/>
  <c r="M41" i="28"/>
  <c r="N45" i="28"/>
  <c r="U44" i="28"/>
  <c r="M44" i="28"/>
  <c r="U40" i="28"/>
  <c r="M40" i="28"/>
  <c r="U43" i="28"/>
  <c r="M43" i="28"/>
  <c r="U39" i="28"/>
  <c r="M39" i="28"/>
  <c r="N41" i="28"/>
  <c r="N40" i="28"/>
  <c r="U42" i="28"/>
  <c r="M42" i="28"/>
  <c r="U38" i="28"/>
  <c r="M38" i="28"/>
  <c r="N39" i="28"/>
  <c r="N38" i="28"/>
  <c r="Z31" i="28"/>
  <c r="X31" i="28"/>
  <c r="Z32" i="28"/>
  <c r="X32" i="28"/>
  <c r="AA33" i="28"/>
  <c r="Y33" i="28"/>
  <c r="AA29" i="28"/>
  <c r="Y29" i="28"/>
  <c r="W30" i="28"/>
  <c r="V30" i="28"/>
  <c r="AA30" i="28"/>
  <c r="Z30" i="28"/>
  <c r="X30" i="28"/>
  <c r="W29" i="28"/>
  <c r="V29" i="28"/>
  <c r="Y30" i="28"/>
  <c r="Y32" i="28"/>
  <c r="Z29" i="28"/>
  <c r="X29" i="28"/>
  <c r="W32" i="28"/>
  <c r="V32" i="28"/>
  <c r="U34" i="28"/>
  <c r="M34" i="28"/>
  <c r="N34" i="28"/>
  <c r="Z28" i="28"/>
  <c r="X28" i="28"/>
  <c r="AA31" i="28"/>
  <c r="Y31" i="28"/>
  <c r="S33" i="28"/>
  <c r="O33" i="28"/>
  <c r="R33" i="28"/>
  <c r="T33" i="28" s="1"/>
  <c r="W31" i="28"/>
  <c r="V31" i="28"/>
  <c r="W28" i="28"/>
  <c r="V28" i="28"/>
  <c r="R18" i="28"/>
  <c r="T18" i="28" s="1"/>
  <c r="J21" i="28"/>
  <c r="K21" i="28" s="1"/>
  <c r="R21" i="28"/>
  <c r="W21" i="28" s="1"/>
  <c r="I18" i="28"/>
  <c r="Y23" i="28"/>
  <c r="Y21" i="28"/>
  <c r="Y19" i="28"/>
  <c r="P21" i="28"/>
  <c r="V21" i="28"/>
  <c r="Q17" i="28"/>
  <c r="M17" i="28" s="1"/>
  <c r="S17" i="28" s="1"/>
  <c r="AA19" i="28"/>
  <c r="I24" i="28"/>
  <c r="Q24" i="28"/>
  <c r="P18" i="28"/>
  <c r="V18" i="28"/>
  <c r="I22" i="28"/>
  <c r="Q22" i="28"/>
  <c r="AA23" i="28"/>
  <c r="I17" i="28"/>
  <c r="I20" i="28"/>
  <c r="Q20" i="28"/>
  <c r="M20" i="28" s="1"/>
  <c r="S20" i="28" s="1"/>
  <c r="N18" i="28"/>
  <c r="O18" i="28" s="1"/>
  <c r="U18" i="28"/>
  <c r="AA21" i="28"/>
  <c r="N19" i="28"/>
  <c r="N23" i="28"/>
  <c r="S23" i="28" l="1"/>
  <c r="O23" i="28"/>
  <c r="P23" i="28"/>
  <c r="O19" i="28"/>
  <c r="R20" i="28"/>
  <c r="W20" i="28" s="1"/>
  <c r="N22" i="28"/>
  <c r="P19" i="28"/>
  <c r="R19" i="28"/>
  <c r="W19" i="28" s="1"/>
  <c r="M22" i="28"/>
  <c r="P22" i="28" s="1"/>
  <c r="M24" i="28"/>
  <c r="P24" i="28" s="1"/>
  <c r="S40" i="28"/>
  <c r="O40" i="28"/>
  <c r="R40" i="28"/>
  <c r="T40" i="28" s="1"/>
  <c r="P40" i="28"/>
  <c r="AA44" i="28"/>
  <c r="Y44" i="28"/>
  <c r="AA41" i="28"/>
  <c r="Y41" i="28"/>
  <c r="S42" i="28"/>
  <c r="O42" i="28"/>
  <c r="R42" i="28"/>
  <c r="T42" i="28" s="1"/>
  <c r="P42" i="28"/>
  <c r="S43" i="28"/>
  <c r="O43" i="28"/>
  <c r="R43" i="28"/>
  <c r="T43" i="28" s="1"/>
  <c r="P43" i="28"/>
  <c r="AA40" i="28"/>
  <c r="Y40" i="28"/>
  <c r="S38" i="28"/>
  <c r="O38" i="28"/>
  <c r="R38" i="28"/>
  <c r="T38" i="28" s="1"/>
  <c r="P38" i="28"/>
  <c r="AA42" i="28"/>
  <c r="Y42" i="28"/>
  <c r="S39" i="28"/>
  <c r="O39" i="28"/>
  <c r="R39" i="28"/>
  <c r="T39" i="28" s="1"/>
  <c r="P39" i="28"/>
  <c r="AA43" i="28"/>
  <c r="Y43" i="28"/>
  <c r="S45" i="28"/>
  <c r="O45" i="28"/>
  <c r="R45" i="28"/>
  <c r="T45" i="28" s="1"/>
  <c r="P45" i="28"/>
  <c r="AA38" i="28"/>
  <c r="Y38" i="28"/>
  <c r="AA39" i="28"/>
  <c r="Y39" i="28"/>
  <c r="S44" i="28"/>
  <c r="O44" i="28"/>
  <c r="R44" i="28"/>
  <c r="T44" i="28" s="1"/>
  <c r="P44" i="28"/>
  <c r="S41" i="28"/>
  <c r="O41" i="28"/>
  <c r="R41" i="28"/>
  <c r="T41" i="28" s="1"/>
  <c r="P41" i="28"/>
  <c r="AA45" i="28"/>
  <c r="Y45" i="28"/>
  <c r="AA34" i="28"/>
  <c r="Y34" i="28"/>
  <c r="Z33" i="28"/>
  <c r="X33" i="28"/>
  <c r="W33" i="28"/>
  <c r="V33" i="28"/>
  <c r="S34" i="28"/>
  <c r="O34" i="28"/>
  <c r="R34" i="28"/>
  <c r="T34" i="28" s="1"/>
  <c r="P34" i="28"/>
  <c r="W18" i="28"/>
  <c r="Z23" i="28"/>
  <c r="T19" i="28"/>
  <c r="X19" i="28" s="1"/>
  <c r="R17" i="28"/>
  <c r="W17" i="28" s="1"/>
  <c r="P17" i="28"/>
  <c r="T21" i="28"/>
  <c r="Z21" i="28" s="1"/>
  <c r="X18" i="28"/>
  <c r="Z18" i="28"/>
  <c r="T20" i="28"/>
  <c r="V20" i="28"/>
  <c r="N20" i="28"/>
  <c r="O20" i="28" s="1"/>
  <c r="U20" i="28"/>
  <c r="U22" i="28"/>
  <c r="U24" i="28"/>
  <c r="N24" i="28"/>
  <c r="O24" i="28" s="1"/>
  <c r="AA18" i="28"/>
  <c r="Y18" i="28"/>
  <c r="P20" i="28"/>
  <c r="U17" i="28"/>
  <c r="V17" i="28"/>
  <c r="N17" i="28"/>
  <c r="O17" i="28" s="1"/>
  <c r="V23" i="28" l="1"/>
  <c r="W23" i="28"/>
  <c r="S24" i="28"/>
  <c r="V24" i="28" s="1"/>
  <c r="R24" i="28"/>
  <c r="S22" i="28"/>
  <c r="V22" i="28" s="1"/>
  <c r="R22" i="28"/>
  <c r="O22" i="28"/>
  <c r="W41" i="28"/>
  <c r="V41" i="28"/>
  <c r="W44" i="28"/>
  <c r="V44" i="28"/>
  <c r="W45" i="28"/>
  <c r="V45" i="28"/>
  <c r="Z39" i="28"/>
  <c r="X39" i="28"/>
  <c r="W38" i="28"/>
  <c r="V38" i="28"/>
  <c r="Z43" i="28"/>
  <c r="X43" i="28"/>
  <c r="Z42" i="28"/>
  <c r="X42" i="28"/>
  <c r="Z40" i="28"/>
  <c r="X40" i="28"/>
  <c r="Z41" i="28"/>
  <c r="X41" i="28"/>
  <c r="Z44" i="28"/>
  <c r="X44" i="28"/>
  <c r="Z45" i="28"/>
  <c r="X45" i="28"/>
  <c r="W39" i="28"/>
  <c r="V39" i="28"/>
  <c r="Z38" i="28"/>
  <c r="X38" i="28"/>
  <c r="W43" i="28"/>
  <c r="V43" i="28"/>
  <c r="W42" i="28"/>
  <c r="V42" i="28"/>
  <c r="W40" i="28"/>
  <c r="V40" i="28"/>
  <c r="W34" i="28"/>
  <c r="V34" i="28"/>
  <c r="Z34" i="28"/>
  <c r="X34" i="28"/>
  <c r="Z19" i="28"/>
  <c r="X21" i="28"/>
  <c r="T17" i="28"/>
  <c r="X17" i="28" s="1"/>
  <c r="AA22" i="28"/>
  <c r="Y22" i="28"/>
  <c r="Y17" i="28"/>
  <c r="AA17" i="28"/>
  <c r="AA24" i="28"/>
  <c r="Y24" i="28"/>
  <c r="X20" i="28"/>
  <c r="Z20" i="28"/>
  <c r="AA20" i="28"/>
  <c r="Y20" i="28"/>
  <c r="H81" i="35"/>
  <c r="U81" i="35" s="1"/>
  <c r="L81" i="35" s="1"/>
  <c r="I81" i="35"/>
  <c r="H82" i="35"/>
  <c r="U82" i="35" s="1"/>
  <c r="I82" i="35"/>
  <c r="M82" i="35" s="1"/>
  <c r="H83" i="35"/>
  <c r="M83" i="35" s="1"/>
  <c r="I83" i="35"/>
  <c r="H84" i="35"/>
  <c r="I84" i="35"/>
  <c r="H85" i="35"/>
  <c r="U85" i="35" s="1"/>
  <c r="L85" i="35" s="1"/>
  <c r="Y85" i="35" s="1"/>
  <c r="I85" i="35"/>
  <c r="H86" i="35"/>
  <c r="U86" i="35" s="1"/>
  <c r="I86" i="35"/>
  <c r="H87" i="35"/>
  <c r="U87" i="35" s="1"/>
  <c r="L87" i="35" s="1"/>
  <c r="I87" i="35"/>
  <c r="H88" i="35"/>
  <c r="U88" i="35" s="1"/>
  <c r="I88" i="35"/>
  <c r="H89" i="35"/>
  <c r="I89" i="35"/>
  <c r="H90" i="35"/>
  <c r="I90" i="35"/>
  <c r="H91" i="35"/>
  <c r="U91" i="35" s="1"/>
  <c r="I91" i="35"/>
  <c r="H92" i="35"/>
  <c r="M92" i="35" s="1"/>
  <c r="I92" i="35"/>
  <c r="H93" i="35"/>
  <c r="U93" i="35" s="1"/>
  <c r="I93" i="35"/>
  <c r="H94" i="35"/>
  <c r="I94" i="35"/>
  <c r="H95" i="35"/>
  <c r="U95" i="35" s="1"/>
  <c r="I95" i="35"/>
  <c r="H96" i="35"/>
  <c r="M96" i="35" s="1"/>
  <c r="I96" i="35"/>
  <c r="H97" i="35"/>
  <c r="U97" i="35" s="1"/>
  <c r="L97" i="35" s="1"/>
  <c r="I97" i="35"/>
  <c r="H98" i="35"/>
  <c r="M98" i="35" s="1"/>
  <c r="I98" i="35"/>
  <c r="H99" i="35"/>
  <c r="U99" i="35" s="1"/>
  <c r="I99" i="35"/>
  <c r="H100" i="35"/>
  <c r="I100" i="35"/>
  <c r="H101" i="35"/>
  <c r="U101" i="35" s="1"/>
  <c r="I101" i="35"/>
  <c r="H102" i="35"/>
  <c r="I102" i="35"/>
  <c r="H103" i="35"/>
  <c r="I103" i="35"/>
  <c r="H104" i="35"/>
  <c r="U104" i="35" s="1"/>
  <c r="I104" i="35"/>
  <c r="H105" i="35"/>
  <c r="M105" i="35" s="1"/>
  <c r="I105" i="35"/>
  <c r="I80" i="35"/>
  <c r="H80" i="35"/>
  <c r="U80" i="35" s="1"/>
  <c r="L80" i="35" s="1"/>
  <c r="O80" i="35"/>
  <c r="P80" i="35"/>
  <c r="O81" i="35"/>
  <c r="P81" i="35"/>
  <c r="O82" i="35"/>
  <c r="P82" i="35"/>
  <c r="O83" i="35"/>
  <c r="P83" i="35"/>
  <c r="U83" i="35"/>
  <c r="M84" i="35"/>
  <c r="O84" i="35"/>
  <c r="P84" i="35"/>
  <c r="U84" i="35"/>
  <c r="L84" i="35" s="1"/>
  <c r="O85" i="35"/>
  <c r="P85" i="35"/>
  <c r="M86" i="35"/>
  <c r="O86" i="35"/>
  <c r="P86" i="35"/>
  <c r="M87" i="35"/>
  <c r="O87" i="35"/>
  <c r="P87" i="35"/>
  <c r="M88" i="35"/>
  <c r="O88" i="35"/>
  <c r="P88" i="35"/>
  <c r="M89" i="35"/>
  <c r="O89" i="35"/>
  <c r="P89" i="35"/>
  <c r="O90" i="35"/>
  <c r="P90" i="35"/>
  <c r="M91" i="35"/>
  <c r="O91" i="35"/>
  <c r="P91" i="35"/>
  <c r="O92" i="35"/>
  <c r="P92" i="35"/>
  <c r="U92" i="35"/>
  <c r="O93" i="35"/>
  <c r="P93" i="35"/>
  <c r="O94" i="35"/>
  <c r="P94" i="35"/>
  <c r="M95" i="35"/>
  <c r="O95" i="35"/>
  <c r="P95" i="35"/>
  <c r="O96" i="35"/>
  <c r="P96" i="35"/>
  <c r="U96" i="35"/>
  <c r="L96" i="35" s="1"/>
  <c r="R96" i="35" s="1"/>
  <c r="O97" i="35"/>
  <c r="P97" i="35"/>
  <c r="U98" i="35"/>
  <c r="O98" i="35"/>
  <c r="P98" i="35"/>
  <c r="O99" i="35"/>
  <c r="P99" i="35"/>
  <c r="U100" i="35"/>
  <c r="O100" i="35"/>
  <c r="P100" i="35"/>
  <c r="M101" i="35"/>
  <c r="O101" i="35"/>
  <c r="P101" i="35"/>
  <c r="O102" i="35"/>
  <c r="P102" i="35"/>
  <c r="U102" i="35"/>
  <c r="O103" i="35"/>
  <c r="P103" i="35"/>
  <c r="O104" i="35"/>
  <c r="P104" i="35"/>
  <c r="O105" i="35"/>
  <c r="P105" i="35"/>
  <c r="U105" i="35"/>
  <c r="L105" i="35" s="1"/>
  <c r="Y105" i="35" s="1"/>
  <c r="I4" i="35"/>
  <c r="I5" i="35"/>
  <c r="I6" i="35"/>
  <c r="I7" i="35"/>
  <c r="I8" i="35"/>
  <c r="I9" i="35"/>
  <c r="I10" i="35"/>
  <c r="I11" i="35"/>
  <c r="I12" i="35"/>
  <c r="I13" i="35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51" i="35"/>
  <c r="I52" i="35"/>
  <c r="I53" i="35"/>
  <c r="I54" i="35"/>
  <c r="I55" i="35"/>
  <c r="I56" i="35"/>
  <c r="I57" i="35"/>
  <c r="I58" i="35"/>
  <c r="I59" i="35"/>
  <c r="I60" i="35"/>
  <c r="I61" i="35"/>
  <c r="I62" i="35"/>
  <c r="I63" i="35"/>
  <c r="I64" i="35"/>
  <c r="I65" i="35"/>
  <c r="I66" i="35"/>
  <c r="I67" i="35"/>
  <c r="I68" i="35"/>
  <c r="I69" i="35"/>
  <c r="I70" i="35"/>
  <c r="I71" i="35"/>
  <c r="I72" i="35"/>
  <c r="I73" i="35"/>
  <c r="I74" i="35"/>
  <c r="I75" i="35"/>
  <c r="I76" i="35"/>
  <c r="I77" i="35"/>
  <c r="I78" i="35"/>
  <c r="I79" i="35"/>
  <c r="I3" i="35"/>
  <c r="H3" i="35"/>
  <c r="H5" i="35"/>
  <c r="O5" i="35"/>
  <c r="P5" i="35"/>
  <c r="H6" i="35"/>
  <c r="M6" i="35" s="1"/>
  <c r="O6" i="35"/>
  <c r="P6" i="35"/>
  <c r="H7" i="35"/>
  <c r="O7" i="35"/>
  <c r="P7" i="35"/>
  <c r="H8" i="35"/>
  <c r="M8" i="35" s="1"/>
  <c r="O8" i="35"/>
  <c r="P8" i="35"/>
  <c r="H9" i="35"/>
  <c r="M9" i="35" s="1"/>
  <c r="O9" i="35"/>
  <c r="P9" i="35"/>
  <c r="H10" i="35"/>
  <c r="M10" i="35" s="1"/>
  <c r="O10" i="35"/>
  <c r="P10" i="35"/>
  <c r="H11" i="35"/>
  <c r="M11" i="35" s="1"/>
  <c r="O11" i="35"/>
  <c r="P11" i="35"/>
  <c r="H12" i="35"/>
  <c r="M12" i="35" s="1"/>
  <c r="O12" i="35"/>
  <c r="P12" i="35"/>
  <c r="H13" i="35"/>
  <c r="O13" i="35"/>
  <c r="P13" i="35"/>
  <c r="H14" i="35"/>
  <c r="O14" i="35"/>
  <c r="P14" i="35"/>
  <c r="H15" i="35"/>
  <c r="M15" i="35" s="1"/>
  <c r="O15" i="35"/>
  <c r="P15" i="35"/>
  <c r="H16" i="35"/>
  <c r="M16" i="35" s="1"/>
  <c r="O16" i="35"/>
  <c r="P16" i="35"/>
  <c r="H17" i="35"/>
  <c r="M17" i="35" s="1"/>
  <c r="O17" i="35"/>
  <c r="P17" i="35"/>
  <c r="H18" i="35"/>
  <c r="M18" i="35" s="1"/>
  <c r="O18" i="35"/>
  <c r="P18" i="35"/>
  <c r="H19" i="35"/>
  <c r="O19" i="35"/>
  <c r="P19" i="35"/>
  <c r="H20" i="35"/>
  <c r="M20" i="35" s="1"/>
  <c r="O20" i="35"/>
  <c r="P20" i="35"/>
  <c r="H21" i="35"/>
  <c r="M21" i="35" s="1"/>
  <c r="O21" i="35"/>
  <c r="P21" i="35"/>
  <c r="H22" i="35"/>
  <c r="M22" i="35" s="1"/>
  <c r="O22" i="35"/>
  <c r="P22" i="35"/>
  <c r="H23" i="35"/>
  <c r="M23" i="35" s="1"/>
  <c r="O23" i="35"/>
  <c r="P23" i="35"/>
  <c r="H24" i="35"/>
  <c r="M24" i="35" s="1"/>
  <c r="O24" i="35"/>
  <c r="P24" i="35"/>
  <c r="H25" i="35"/>
  <c r="O25" i="35"/>
  <c r="P25" i="35"/>
  <c r="H26" i="35"/>
  <c r="O26" i="35"/>
  <c r="P26" i="35"/>
  <c r="H27" i="35"/>
  <c r="M27" i="35" s="1"/>
  <c r="O27" i="35"/>
  <c r="P27" i="35"/>
  <c r="H28" i="35"/>
  <c r="M28" i="35" s="1"/>
  <c r="O28" i="35"/>
  <c r="P28" i="35"/>
  <c r="H29" i="35"/>
  <c r="M29" i="35" s="1"/>
  <c r="O29" i="35"/>
  <c r="P29" i="35"/>
  <c r="H30" i="35"/>
  <c r="M30" i="35" s="1"/>
  <c r="O30" i="35"/>
  <c r="P30" i="35"/>
  <c r="H31" i="35"/>
  <c r="O31" i="35"/>
  <c r="P31" i="35"/>
  <c r="H32" i="35"/>
  <c r="M32" i="35" s="1"/>
  <c r="O32" i="35"/>
  <c r="P32" i="35"/>
  <c r="H33" i="35"/>
  <c r="M33" i="35" s="1"/>
  <c r="O33" i="35"/>
  <c r="P33" i="35"/>
  <c r="H34" i="35"/>
  <c r="U34" i="35" s="1"/>
  <c r="O34" i="35"/>
  <c r="P34" i="35"/>
  <c r="H35" i="35"/>
  <c r="U35" i="35" s="1"/>
  <c r="L35" i="35" s="1"/>
  <c r="O35" i="35"/>
  <c r="P35" i="35"/>
  <c r="H36" i="35"/>
  <c r="M36" i="35" s="1"/>
  <c r="O36" i="35"/>
  <c r="P36" i="35"/>
  <c r="H37" i="35"/>
  <c r="M37" i="35" s="1"/>
  <c r="P37" i="35"/>
  <c r="H38" i="35"/>
  <c r="O38" i="35"/>
  <c r="P38" i="35"/>
  <c r="U38" i="35"/>
  <c r="H39" i="35"/>
  <c r="U39" i="35" s="1"/>
  <c r="L39" i="35" s="1"/>
  <c r="P39" i="35"/>
  <c r="H40" i="35"/>
  <c r="O40" i="35"/>
  <c r="P40" i="35"/>
  <c r="H41" i="35"/>
  <c r="M41" i="35" s="1"/>
  <c r="P41" i="35"/>
  <c r="H42" i="35"/>
  <c r="M42" i="35" s="1"/>
  <c r="O42" i="35"/>
  <c r="P42" i="35"/>
  <c r="H43" i="35"/>
  <c r="U43" i="35" s="1"/>
  <c r="L43" i="35" s="1"/>
  <c r="P43" i="35"/>
  <c r="H44" i="35"/>
  <c r="M44" i="35" s="1"/>
  <c r="O44" i="35"/>
  <c r="P44" i="35"/>
  <c r="H45" i="35"/>
  <c r="M45" i="35" s="1"/>
  <c r="P45" i="35"/>
  <c r="H46" i="35"/>
  <c r="M46" i="35" s="1"/>
  <c r="O46" i="35"/>
  <c r="P46" i="35"/>
  <c r="H47" i="35"/>
  <c r="M47" i="35" s="1"/>
  <c r="O47" i="35"/>
  <c r="P47" i="35"/>
  <c r="H48" i="35"/>
  <c r="M48" i="35" s="1"/>
  <c r="O48" i="35"/>
  <c r="P48" i="35"/>
  <c r="H49" i="35"/>
  <c r="M49" i="35" s="1"/>
  <c r="O49" i="35"/>
  <c r="P49" i="35"/>
  <c r="H50" i="35"/>
  <c r="O50" i="35"/>
  <c r="P50" i="35"/>
  <c r="H51" i="35"/>
  <c r="M51" i="35" s="1"/>
  <c r="O51" i="35"/>
  <c r="P51" i="35"/>
  <c r="H52" i="35"/>
  <c r="M52" i="35" s="1"/>
  <c r="O52" i="35"/>
  <c r="P52" i="35"/>
  <c r="H53" i="35"/>
  <c r="M53" i="35" s="1"/>
  <c r="O53" i="35"/>
  <c r="P53" i="35"/>
  <c r="H54" i="35"/>
  <c r="M54" i="35" s="1"/>
  <c r="O54" i="35"/>
  <c r="P54" i="35"/>
  <c r="H55" i="35"/>
  <c r="O55" i="35"/>
  <c r="P55" i="35"/>
  <c r="H56" i="35"/>
  <c r="M56" i="35" s="1"/>
  <c r="O56" i="35"/>
  <c r="P56" i="35"/>
  <c r="H57" i="35"/>
  <c r="M57" i="35" s="1"/>
  <c r="O57" i="35"/>
  <c r="P57" i="35"/>
  <c r="H58" i="35"/>
  <c r="M58" i="35" s="1"/>
  <c r="O58" i="35"/>
  <c r="P58" i="35"/>
  <c r="H59" i="35"/>
  <c r="M59" i="35" s="1"/>
  <c r="O59" i="35"/>
  <c r="P59" i="35"/>
  <c r="H60" i="35"/>
  <c r="M60" i="35" s="1"/>
  <c r="O60" i="35"/>
  <c r="P60" i="35"/>
  <c r="H61" i="35"/>
  <c r="M61" i="35" s="1"/>
  <c r="O61" i="35"/>
  <c r="P61" i="35"/>
  <c r="H62" i="35"/>
  <c r="O62" i="35"/>
  <c r="P62" i="35"/>
  <c r="H63" i="35"/>
  <c r="M63" i="35" s="1"/>
  <c r="O63" i="35"/>
  <c r="P63" i="35"/>
  <c r="H64" i="35"/>
  <c r="M64" i="35" s="1"/>
  <c r="O64" i="35"/>
  <c r="P64" i="35"/>
  <c r="H65" i="35"/>
  <c r="M65" i="35" s="1"/>
  <c r="O65" i="35"/>
  <c r="P65" i="35"/>
  <c r="H66" i="35"/>
  <c r="M66" i="35" s="1"/>
  <c r="O66" i="35"/>
  <c r="P66" i="35"/>
  <c r="H67" i="35"/>
  <c r="O67" i="35"/>
  <c r="P67" i="35"/>
  <c r="H68" i="35"/>
  <c r="M68" i="35" s="1"/>
  <c r="O68" i="35"/>
  <c r="P68" i="35"/>
  <c r="H69" i="35"/>
  <c r="M69" i="35" s="1"/>
  <c r="O69" i="35"/>
  <c r="P69" i="35"/>
  <c r="H70" i="35"/>
  <c r="M70" i="35" s="1"/>
  <c r="O70" i="35"/>
  <c r="P70" i="35"/>
  <c r="H71" i="35"/>
  <c r="M71" i="35" s="1"/>
  <c r="O71" i="35"/>
  <c r="P71" i="35"/>
  <c r="H72" i="35"/>
  <c r="M72" i="35" s="1"/>
  <c r="O72" i="35"/>
  <c r="P72" i="35"/>
  <c r="H73" i="35"/>
  <c r="M73" i="35" s="1"/>
  <c r="O73" i="35"/>
  <c r="P73" i="35"/>
  <c r="H74" i="35"/>
  <c r="U74" i="35" s="1"/>
  <c r="L74" i="35" s="1"/>
  <c r="O74" i="35"/>
  <c r="P74" i="35"/>
  <c r="H75" i="35"/>
  <c r="M75" i="35" s="1"/>
  <c r="P75" i="35"/>
  <c r="H76" i="35"/>
  <c r="M76" i="35" s="1"/>
  <c r="O76" i="35"/>
  <c r="P76" i="35"/>
  <c r="H77" i="35"/>
  <c r="M77" i="35" s="1"/>
  <c r="P77" i="35"/>
  <c r="H78" i="35"/>
  <c r="M78" i="35" s="1"/>
  <c r="O78" i="35"/>
  <c r="P78" i="35"/>
  <c r="H79" i="35"/>
  <c r="U79" i="35" s="1"/>
  <c r="L79" i="35" s="1"/>
  <c r="P79" i="35"/>
  <c r="O4" i="35"/>
  <c r="H4" i="35"/>
  <c r="U4" i="35" s="1"/>
  <c r="U3" i="35"/>
  <c r="P4" i="35"/>
  <c r="P3" i="35"/>
  <c r="O3" i="35"/>
  <c r="H3" i="34"/>
  <c r="M3" i="34" s="1"/>
  <c r="H4" i="34"/>
  <c r="H5" i="34"/>
  <c r="M5" i="34" s="1"/>
  <c r="H6" i="34"/>
  <c r="M6" i="34" s="1"/>
  <c r="H7" i="34"/>
  <c r="H8" i="34"/>
  <c r="H9" i="34"/>
  <c r="M9" i="34" s="1"/>
  <c r="H10" i="34"/>
  <c r="H11" i="34"/>
  <c r="H12" i="34"/>
  <c r="H13" i="34"/>
  <c r="H14" i="34"/>
  <c r="M14" i="34" s="1"/>
  <c r="H15" i="34"/>
  <c r="M15" i="34" s="1"/>
  <c r="H16" i="34"/>
  <c r="H17" i="34"/>
  <c r="M17" i="34" s="1"/>
  <c r="H18" i="34"/>
  <c r="M18" i="34" s="1"/>
  <c r="H19" i="34"/>
  <c r="H20" i="34"/>
  <c r="U20" i="34" s="1"/>
  <c r="L20" i="34" s="1"/>
  <c r="H21" i="34"/>
  <c r="M21" i="34" s="1"/>
  <c r="H22" i="34"/>
  <c r="H23" i="34"/>
  <c r="H24" i="34"/>
  <c r="U24" i="34" s="1"/>
  <c r="H25" i="34"/>
  <c r="H26" i="34"/>
  <c r="M26" i="34" s="1"/>
  <c r="H27" i="34"/>
  <c r="M27" i="34" s="1"/>
  <c r="H28" i="34"/>
  <c r="H29" i="34"/>
  <c r="M29" i="34" s="1"/>
  <c r="H30" i="34"/>
  <c r="M30" i="34" s="1"/>
  <c r="H31" i="34"/>
  <c r="H32" i="34"/>
  <c r="H33" i="34"/>
  <c r="M33" i="34" s="1"/>
  <c r="H34" i="34"/>
  <c r="H35" i="34"/>
  <c r="H36" i="34"/>
  <c r="U36" i="34" s="1"/>
  <c r="H37" i="34"/>
  <c r="H38" i="34"/>
  <c r="M38" i="34" s="1"/>
  <c r="H39" i="34"/>
  <c r="M39" i="34" s="1"/>
  <c r="H40" i="34"/>
  <c r="H41" i="34"/>
  <c r="M41" i="34" s="1"/>
  <c r="H42" i="34"/>
  <c r="U42" i="34" s="1"/>
  <c r="H43" i="34"/>
  <c r="H44" i="34"/>
  <c r="H45" i="34"/>
  <c r="M45" i="34" s="1"/>
  <c r="I3" i="34"/>
  <c r="I4" i="34"/>
  <c r="I5" i="34"/>
  <c r="I6" i="34"/>
  <c r="I7" i="34"/>
  <c r="I8" i="34"/>
  <c r="I9" i="34"/>
  <c r="I10" i="34"/>
  <c r="I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U37" i="34"/>
  <c r="O37" i="34"/>
  <c r="P37" i="34"/>
  <c r="O38" i="34"/>
  <c r="P38" i="34"/>
  <c r="O39" i="34"/>
  <c r="P39" i="34"/>
  <c r="O40" i="34"/>
  <c r="P40" i="34"/>
  <c r="U40" i="34"/>
  <c r="L40" i="34" s="1"/>
  <c r="U41" i="34"/>
  <c r="O41" i="34"/>
  <c r="P41" i="34"/>
  <c r="O42" i="34"/>
  <c r="P42" i="34"/>
  <c r="O43" i="34"/>
  <c r="P43" i="34"/>
  <c r="U43" i="34"/>
  <c r="L43" i="34" s="1"/>
  <c r="O44" i="34"/>
  <c r="P44" i="34"/>
  <c r="U44" i="34"/>
  <c r="L44" i="34" s="1"/>
  <c r="O45" i="34"/>
  <c r="P45" i="34"/>
  <c r="O36" i="34"/>
  <c r="P36" i="34"/>
  <c r="O20" i="34"/>
  <c r="P20" i="34"/>
  <c r="O21" i="34"/>
  <c r="P21" i="34"/>
  <c r="O22" i="34"/>
  <c r="P22" i="34"/>
  <c r="U23" i="34"/>
  <c r="O23" i="34"/>
  <c r="P23" i="34"/>
  <c r="O24" i="34"/>
  <c r="P24" i="34"/>
  <c r="O25" i="34"/>
  <c r="P25" i="34"/>
  <c r="U25" i="34"/>
  <c r="O26" i="34"/>
  <c r="P26" i="34"/>
  <c r="U27" i="34"/>
  <c r="O27" i="34"/>
  <c r="P27" i="34"/>
  <c r="O28" i="34"/>
  <c r="P28" i="34"/>
  <c r="O29" i="34"/>
  <c r="P29" i="34"/>
  <c r="U29" i="34"/>
  <c r="L29" i="34" s="1"/>
  <c r="Y29" i="34" s="1"/>
  <c r="O30" i="34"/>
  <c r="P30" i="34"/>
  <c r="U31" i="34"/>
  <c r="O31" i="34"/>
  <c r="P31" i="34"/>
  <c r="O32" i="34"/>
  <c r="P32" i="34"/>
  <c r="U32" i="34"/>
  <c r="O33" i="34"/>
  <c r="P33" i="34"/>
  <c r="U34" i="34"/>
  <c r="O34" i="34"/>
  <c r="P34" i="34"/>
  <c r="O35" i="34"/>
  <c r="P35" i="34"/>
  <c r="U35" i="34"/>
  <c r="L35" i="34" s="1"/>
  <c r="O15" i="34"/>
  <c r="P15" i="34"/>
  <c r="O16" i="34"/>
  <c r="P16" i="34"/>
  <c r="O17" i="34"/>
  <c r="P17" i="34"/>
  <c r="O18" i="34"/>
  <c r="P18" i="34"/>
  <c r="O19" i="34"/>
  <c r="P19" i="34"/>
  <c r="O5" i="34"/>
  <c r="P5" i="34"/>
  <c r="O6" i="34"/>
  <c r="P6" i="34"/>
  <c r="O7" i="34"/>
  <c r="P7" i="34"/>
  <c r="O8" i="34"/>
  <c r="P8" i="34"/>
  <c r="O9" i="34"/>
  <c r="P9" i="34"/>
  <c r="O10" i="34"/>
  <c r="P10" i="34"/>
  <c r="O11" i="34"/>
  <c r="P11" i="34"/>
  <c r="O12" i="34"/>
  <c r="P12" i="34"/>
  <c r="O13" i="34"/>
  <c r="P13" i="34"/>
  <c r="O14" i="34"/>
  <c r="P14" i="34"/>
  <c r="P4" i="34"/>
  <c r="O4" i="34"/>
  <c r="U4" i="34"/>
  <c r="P3" i="34"/>
  <c r="O3" i="34"/>
  <c r="I3" i="33"/>
  <c r="I4" i="33"/>
  <c r="I5" i="33"/>
  <c r="I6" i="33"/>
  <c r="I7" i="33"/>
  <c r="I8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I27" i="33"/>
  <c r="H3" i="33"/>
  <c r="H4" i="33"/>
  <c r="M4" i="33" s="1"/>
  <c r="H5" i="33"/>
  <c r="M5" i="33" s="1"/>
  <c r="H6" i="33"/>
  <c r="H7" i="33"/>
  <c r="M7" i="33" s="1"/>
  <c r="H8" i="33"/>
  <c r="M8" i="33" s="1"/>
  <c r="H9" i="33"/>
  <c r="H10" i="33"/>
  <c r="M10" i="33" s="1"/>
  <c r="H11" i="33"/>
  <c r="H12" i="33"/>
  <c r="M12" i="33" s="1"/>
  <c r="H13" i="33"/>
  <c r="M13" i="33" s="1"/>
  <c r="H14" i="33"/>
  <c r="H15" i="33"/>
  <c r="H16" i="33"/>
  <c r="M16" i="33" s="1"/>
  <c r="H17" i="33"/>
  <c r="M17" i="33" s="1"/>
  <c r="H18" i="33"/>
  <c r="H19" i="33"/>
  <c r="M19" i="33" s="1"/>
  <c r="H20" i="33"/>
  <c r="M20" i="33" s="1"/>
  <c r="H21" i="33"/>
  <c r="H22" i="33"/>
  <c r="U22" i="33" s="1"/>
  <c r="H23" i="33"/>
  <c r="H24" i="33"/>
  <c r="U24" i="33" s="1"/>
  <c r="H25" i="33"/>
  <c r="M25" i="33" s="1"/>
  <c r="H26" i="33"/>
  <c r="H27" i="33"/>
  <c r="O22" i="33"/>
  <c r="P22" i="33"/>
  <c r="O23" i="33"/>
  <c r="P23" i="33"/>
  <c r="O24" i="33"/>
  <c r="P24" i="33"/>
  <c r="O25" i="33"/>
  <c r="P25" i="33"/>
  <c r="O26" i="33"/>
  <c r="P26" i="33"/>
  <c r="O27" i="33"/>
  <c r="P27" i="33"/>
  <c r="O5" i="33"/>
  <c r="P5" i="33"/>
  <c r="O6" i="33"/>
  <c r="P6" i="33"/>
  <c r="O7" i="33"/>
  <c r="P7" i="33"/>
  <c r="O8" i="33"/>
  <c r="P8" i="33"/>
  <c r="O9" i="33"/>
  <c r="P9" i="33"/>
  <c r="O10" i="33"/>
  <c r="P10" i="33"/>
  <c r="O11" i="33"/>
  <c r="P11" i="33"/>
  <c r="O12" i="33"/>
  <c r="P12" i="33"/>
  <c r="O13" i="33"/>
  <c r="P13" i="33"/>
  <c r="O14" i="33"/>
  <c r="P14" i="33"/>
  <c r="O15" i="33"/>
  <c r="P15" i="33"/>
  <c r="O16" i="33"/>
  <c r="P16" i="33"/>
  <c r="O17" i="33"/>
  <c r="P17" i="33"/>
  <c r="O18" i="33"/>
  <c r="P18" i="33"/>
  <c r="O19" i="33"/>
  <c r="P19" i="33"/>
  <c r="O20" i="33"/>
  <c r="P20" i="33"/>
  <c r="U21" i="33"/>
  <c r="O21" i="33"/>
  <c r="P21" i="33"/>
  <c r="O4" i="33"/>
  <c r="U4" i="33"/>
  <c r="L4" i="33" s="1"/>
  <c r="P4" i="33"/>
  <c r="P3" i="33"/>
  <c r="O3" i="33"/>
  <c r="U3" i="33"/>
  <c r="H6" i="32"/>
  <c r="I6" i="32"/>
  <c r="O6" i="32" s="1"/>
  <c r="P6" i="32"/>
  <c r="H7" i="32"/>
  <c r="U7" i="32" s="1"/>
  <c r="I7" i="32"/>
  <c r="P7" i="32"/>
  <c r="H8" i="32"/>
  <c r="I8" i="32"/>
  <c r="O8" i="32" s="1"/>
  <c r="P8" i="32"/>
  <c r="H9" i="32"/>
  <c r="I9" i="32"/>
  <c r="O9" i="32"/>
  <c r="P9" i="32"/>
  <c r="H10" i="32"/>
  <c r="I10" i="32"/>
  <c r="M10" i="32" s="1"/>
  <c r="O10" i="32"/>
  <c r="P10" i="32"/>
  <c r="U10" i="32"/>
  <c r="H11" i="32"/>
  <c r="I11" i="32"/>
  <c r="P11" i="32"/>
  <c r="U11" i="32"/>
  <c r="L11" i="32" s="1"/>
  <c r="Q11" i="32" s="1"/>
  <c r="V11" i="32" s="1"/>
  <c r="H12" i="32"/>
  <c r="I12" i="32"/>
  <c r="O12" i="32" s="1"/>
  <c r="P12" i="32"/>
  <c r="H13" i="32"/>
  <c r="I13" i="32"/>
  <c r="O13" i="32"/>
  <c r="P13" i="32"/>
  <c r="H14" i="32"/>
  <c r="M14" i="32" s="1"/>
  <c r="I14" i="32"/>
  <c r="O14" i="32"/>
  <c r="P14" i="32"/>
  <c r="U14" i="32"/>
  <c r="H15" i="32"/>
  <c r="U15" i="32" s="1"/>
  <c r="I15" i="32"/>
  <c r="P15" i="32"/>
  <c r="H16" i="32"/>
  <c r="I16" i="32"/>
  <c r="O16" i="32" s="1"/>
  <c r="P16" i="32"/>
  <c r="H17" i="32"/>
  <c r="I17" i="32"/>
  <c r="O17" i="32"/>
  <c r="P17" i="32"/>
  <c r="H18" i="32"/>
  <c r="M18" i="32" s="1"/>
  <c r="I18" i="32"/>
  <c r="O18" i="32"/>
  <c r="P18" i="32"/>
  <c r="H19" i="32"/>
  <c r="I19" i="32"/>
  <c r="L19" i="32"/>
  <c r="P19" i="32"/>
  <c r="U19" i="32"/>
  <c r="H20" i="32"/>
  <c r="I20" i="32"/>
  <c r="O20" i="32" s="1"/>
  <c r="P20" i="32"/>
  <c r="H21" i="32"/>
  <c r="I21" i="32"/>
  <c r="O21" i="32"/>
  <c r="P21" i="32"/>
  <c r="H22" i="32"/>
  <c r="I22" i="32"/>
  <c r="O22" i="32"/>
  <c r="P22" i="32"/>
  <c r="H23" i="32"/>
  <c r="U23" i="32" s="1"/>
  <c r="I23" i="32"/>
  <c r="P23" i="32"/>
  <c r="H24" i="32"/>
  <c r="I24" i="32"/>
  <c r="O24" i="32" s="1"/>
  <c r="P24" i="32"/>
  <c r="H25" i="32"/>
  <c r="U25" i="32" s="1"/>
  <c r="L25" i="32" s="1"/>
  <c r="Y25" i="32" s="1"/>
  <c r="I25" i="32"/>
  <c r="O25" i="32" s="1"/>
  <c r="P25" i="32"/>
  <c r="H26" i="32"/>
  <c r="I26" i="32"/>
  <c r="O26" i="32" s="1"/>
  <c r="P26" i="32"/>
  <c r="H27" i="32"/>
  <c r="U27" i="32" s="1"/>
  <c r="I27" i="32"/>
  <c r="O27" i="32"/>
  <c r="P27" i="32"/>
  <c r="H28" i="32"/>
  <c r="M28" i="32" s="1"/>
  <c r="I28" i="32"/>
  <c r="O28" i="32" s="1"/>
  <c r="P28" i="32"/>
  <c r="U28" i="32"/>
  <c r="H29" i="32"/>
  <c r="U29" i="32" s="1"/>
  <c r="I29" i="32"/>
  <c r="O29" i="32"/>
  <c r="P29" i="32"/>
  <c r="H30" i="32"/>
  <c r="I30" i="32"/>
  <c r="O30" i="32"/>
  <c r="P30" i="32"/>
  <c r="H31" i="32"/>
  <c r="U31" i="32" s="1"/>
  <c r="I31" i="32"/>
  <c r="M31" i="32" s="1"/>
  <c r="O31" i="32"/>
  <c r="P31" i="32"/>
  <c r="H32" i="32"/>
  <c r="I32" i="32"/>
  <c r="O32" i="32" s="1"/>
  <c r="P32" i="32"/>
  <c r="U32" i="32"/>
  <c r="H33" i="32"/>
  <c r="U33" i="32" s="1"/>
  <c r="L33" i="32" s="1"/>
  <c r="I33" i="32"/>
  <c r="O33" i="32" s="1"/>
  <c r="P33" i="32"/>
  <c r="H34" i="32"/>
  <c r="U34" i="32" s="1"/>
  <c r="L34" i="32" s="1"/>
  <c r="Y34" i="32" s="1"/>
  <c r="I34" i="32"/>
  <c r="O34" i="32" s="1"/>
  <c r="P34" i="32"/>
  <c r="H35" i="32"/>
  <c r="I35" i="32"/>
  <c r="O35" i="32"/>
  <c r="P35" i="32"/>
  <c r="H36" i="32"/>
  <c r="I36" i="32"/>
  <c r="O36" i="32" s="1"/>
  <c r="P36" i="32"/>
  <c r="U36" i="32"/>
  <c r="L36" i="32" s="1"/>
  <c r="H37" i="32"/>
  <c r="I37" i="32"/>
  <c r="O37" i="32" s="1"/>
  <c r="P37" i="32"/>
  <c r="H38" i="32"/>
  <c r="U38" i="32" s="1"/>
  <c r="I38" i="32"/>
  <c r="O38" i="32" s="1"/>
  <c r="P38" i="32"/>
  <c r="H39" i="32"/>
  <c r="M39" i="32" s="1"/>
  <c r="I39" i="32"/>
  <c r="O39" i="32"/>
  <c r="P39" i="32"/>
  <c r="H40" i="32"/>
  <c r="M40" i="32" s="1"/>
  <c r="I40" i="32"/>
  <c r="O40" i="32" s="1"/>
  <c r="P40" i="32"/>
  <c r="U40" i="32"/>
  <c r="H41" i="32"/>
  <c r="U41" i="32" s="1"/>
  <c r="I41" i="32"/>
  <c r="O41" i="32" s="1"/>
  <c r="P41" i="32"/>
  <c r="H42" i="32"/>
  <c r="U42" i="32" s="1"/>
  <c r="I42" i="32"/>
  <c r="O42" i="32" s="1"/>
  <c r="P42" i="32"/>
  <c r="H43" i="32"/>
  <c r="I43" i="32"/>
  <c r="O43" i="32"/>
  <c r="P43" i="32"/>
  <c r="I4" i="32"/>
  <c r="M4" i="32" s="1"/>
  <c r="I5" i="32"/>
  <c r="O5" i="32" s="1"/>
  <c r="I3" i="32"/>
  <c r="H4" i="32"/>
  <c r="H5" i="32"/>
  <c r="H3" i="32"/>
  <c r="P5" i="32"/>
  <c r="U4" i="32"/>
  <c r="P4" i="32"/>
  <c r="O4" i="32"/>
  <c r="P3" i="32"/>
  <c r="O3" i="32"/>
  <c r="M37" i="32" l="1"/>
  <c r="M6" i="32"/>
  <c r="M23" i="33"/>
  <c r="M11" i="33"/>
  <c r="U3" i="34"/>
  <c r="M12" i="34"/>
  <c r="M35" i="34"/>
  <c r="M23" i="34"/>
  <c r="M11" i="34"/>
  <c r="M31" i="35"/>
  <c r="M19" i="35"/>
  <c r="M7" i="35"/>
  <c r="M43" i="32"/>
  <c r="M21" i="33"/>
  <c r="M9" i="33"/>
  <c r="M34" i="34"/>
  <c r="M22" i="34"/>
  <c r="M10" i="34"/>
  <c r="U75" i="35"/>
  <c r="L75" i="35" s="1"/>
  <c r="Y75" i="35" s="1"/>
  <c r="M100" i="35"/>
  <c r="U33" i="34"/>
  <c r="L33" i="34" s="1"/>
  <c r="Q33" i="34" s="1"/>
  <c r="M44" i="34"/>
  <c r="R44" i="34" s="1"/>
  <c r="M32" i="34"/>
  <c r="M8" i="34"/>
  <c r="M67" i="35"/>
  <c r="M55" i="35"/>
  <c r="M26" i="35"/>
  <c r="M14" i="35"/>
  <c r="M18" i="33"/>
  <c r="M6" i="33"/>
  <c r="M43" i="34"/>
  <c r="M31" i="34"/>
  <c r="M19" i="34"/>
  <c r="M7" i="34"/>
  <c r="U46" i="35"/>
  <c r="M38" i="35"/>
  <c r="L32" i="32"/>
  <c r="Q32" i="32" s="1"/>
  <c r="Q19" i="32"/>
  <c r="W19" i="32" s="1"/>
  <c r="U38" i="34"/>
  <c r="L38" i="34" s="1"/>
  <c r="R38" i="34" s="1"/>
  <c r="M62" i="35"/>
  <c r="M50" i="35"/>
  <c r="M25" i="35"/>
  <c r="M13" i="35"/>
  <c r="M27" i="33"/>
  <c r="M15" i="33"/>
  <c r="U45" i="34"/>
  <c r="L45" i="34" s="1"/>
  <c r="Q45" i="34" s="1"/>
  <c r="M40" i="34"/>
  <c r="M28" i="34"/>
  <c r="M16" i="34"/>
  <c r="M4" i="34"/>
  <c r="M3" i="35"/>
  <c r="M99" i="35"/>
  <c r="M26" i="33"/>
  <c r="M14" i="33"/>
  <c r="M25" i="32"/>
  <c r="AE25" i="32" s="1"/>
  <c r="M22" i="32"/>
  <c r="U21" i="34"/>
  <c r="L21" i="34" s="1"/>
  <c r="Y21" i="34" s="1"/>
  <c r="U39" i="34"/>
  <c r="L39" i="34" s="1"/>
  <c r="Y39" i="34" s="1"/>
  <c r="M37" i="34"/>
  <c r="M25" i="34"/>
  <c r="M13" i="34"/>
  <c r="M40" i="35"/>
  <c r="M35" i="32"/>
  <c r="U22" i="32"/>
  <c r="U18" i="32"/>
  <c r="U6" i="32"/>
  <c r="Q36" i="32"/>
  <c r="M36" i="34"/>
  <c r="M24" i="34"/>
  <c r="M20" i="34"/>
  <c r="U42" i="35"/>
  <c r="M5" i="35"/>
  <c r="L15" i="32"/>
  <c r="Q15" i="32" s="1"/>
  <c r="U26" i="33"/>
  <c r="L26" i="33" s="1"/>
  <c r="Q26" i="33" s="1"/>
  <c r="M24" i="33"/>
  <c r="M4" i="35"/>
  <c r="M41" i="32"/>
  <c r="U37" i="32"/>
  <c r="M36" i="32"/>
  <c r="Q34" i="32"/>
  <c r="V34" i="32" s="1"/>
  <c r="M3" i="33"/>
  <c r="M42" i="34"/>
  <c r="U76" i="35"/>
  <c r="M43" i="35"/>
  <c r="Q33" i="32"/>
  <c r="W33" i="32" s="1"/>
  <c r="Z33" i="32" s="1"/>
  <c r="Q25" i="32"/>
  <c r="M22" i="33"/>
  <c r="W22" i="28"/>
  <c r="T22" i="28"/>
  <c r="W24" i="28"/>
  <c r="T24" i="28"/>
  <c r="Q105" i="35"/>
  <c r="Z17" i="28"/>
  <c r="M39" i="35"/>
  <c r="R39" i="35" s="1"/>
  <c r="U45" i="35"/>
  <c r="L45" i="35" s="1"/>
  <c r="R45" i="35" s="1"/>
  <c r="U37" i="35"/>
  <c r="L37" i="35" s="1"/>
  <c r="M35" i="35"/>
  <c r="R35" i="35" s="1"/>
  <c r="R84" i="35"/>
  <c r="Y84" i="35"/>
  <c r="AE84" i="35" s="1"/>
  <c r="R105" i="35"/>
  <c r="S105" i="35" s="1"/>
  <c r="Q84" i="35"/>
  <c r="V84" i="35" s="1"/>
  <c r="X84" i="35" s="1"/>
  <c r="AB84" i="35" s="1"/>
  <c r="Q96" i="35"/>
  <c r="V96" i="35" s="1"/>
  <c r="X96" i="35" s="1"/>
  <c r="AD96" i="35" s="1"/>
  <c r="M80" i="35"/>
  <c r="R80" i="35" s="1"/>
  <c r="Y87" i="35"/>
  <c r="AE105" i="35"/>
  <c r="W105" i="35"/>
  <c r="T105" i="35"/>
  <c r="L102" i="35"/>
  <c r="Q102" i="35" s="1"/>
  <c r="M93" i="35"/>
  <c r="L92" i="35"/>
  <c r="L83" i="35"/>
  <c r="U94" i="35"/>
  <c r="M94" i="35"/>
  <c r="L88" i="35"/>
  <c r="Q88" i="35" s="1"/>
  <c r="Q87" i="35"/>
  <c r="V105" i="35"/>
  <c r="M104" i="35"/>
  <c r="L100" i="35"/>
  <c r="Q100" i="35" s="1"/>
  <c r="Y97" i="35"/>
  <c r="L95" i="35"/>
  <c r="Q95" i="35" s="1"/>
  <c r="L91" i="35"/>
  <c r="Q91" i="35" s="1"/>
  <c r="Q83" i="35"/>
  <c r="L104" i="35"/>
  <c r="Q104" i="35"/>
  <c r="L93" i="35"/>
  <c r="Q93" i="35" s="1"/>
  <c r="AC105" i="35"/>
  <c r="X105" i="35"/>
  <c r="U103" i="35"/>
  <c r="M103" i="35"/>
  <c r="M102" i="35"/>
  <c r="L101" i="35"/>
  <c r="Q101" i="35" s="1"/>
  <c r="L99" i="35"/>
  <c r="Q97" i="35"/>
  <c r="Y96" i="35"/>
  <c r="U90" i="35"/>
  <c r="M90" i="35"/>
  <c r="U89" i="35"/>
  <c r="R87" i="35"/>
  <c r="Q85" i="35"/>
  <c r="Y81" i="35"/>
  <c r="Q81" i="35"/>
  <c r="T81" i="35" s="1"/>
  <c r="L98" i="35"/>
  <c r="Q98" i="35" s="1"/>
  <c r="M97" i="35"/>
  <c r="R97" i="35" s="1"/>
  <c r="S84" i="35"/>
  <c r="L82" i="35"/>
  <c r="M81" i="35"/>
  <c r="R81" i="35" s="1"/>
  <c r="Q80" i="35"/>
  <c r="T80" i="35" s="1"/>
  <c r="L86" i="35"/>
  <c r="Q86" i="35" s="1"/>
  <c r="M85" i="35"/>
  <c r="AC85" i="35" s="1"/>
  <c r="Y80" i="35"/>
  <c r="M79" i="35"/>
  <c r="U78" i="35"/>
  <c r="U77" i="35"/>
  <c r="L77" i="35" s="1"/>
  <c r="Y77" i="35" s="1"/>
  <c r="U40" i="35"/>
  <c r="L40" i="35" s="1"/>
  <c r="M74" i="35"/>
  <c r="R74" i="35" s="1"/>
  <c r="M34" i="35"/>
  <c r="U41" i="35"/>
  <c r="L41" i="35" s="1"/>
  <c r="Y41" i="35" s="1"/>
  <c r="U44" i="35"/>
  <c r="L44" i="35" s="1"/>
  <c r="U36" i="35"/>
  <c r="R75" i="35"/>
  <c r="Y74" i="35"/>
  <c r="Y79" i="35"/>
  <c r="R79" i="35"/>
  <c r="O79" i="35"/>
  <c r="L78" i="35"/>
  <c r="Q78" i="35" s="1"/>
  <c r="O77" i="35"/>
  <c r="L76" i="35"/>
  <c r="Q76" i="35" s="1"/>
  <c r="O75" i="35"/>
  <c r="Q79" i="35"/>
  <c r="Q75" i="35"/>
  <c r="U66" i="35"/>
  <c r="U64" i="35"/>
  <c r="Q74" i="35"/>
  <c r="U73" i="35"/>
  <c r="U72" i="35"/>
  <c r="U71" i="35"/>
  <c r="U70" i="35"/>
  <c r="U69" i="35"/>
  <c r="U68" i="35"/>
  <c r="U67" i="35"/>
  <c r="U65" i="35"/>
  <c r="U63" i="35"/>
  <c r="U61" i="35"/>
  <c r="U59" i="35"/>
  <c r="U57" i="35"/>
  <c r="U55" i="35"/>
  <c r="U53" i="35"/>
  <c r="U51" i="35"/>
  <c r="U49" i="35"/>
  <c r="U47" i="35"/>
  <c r="L46" i="35"/>
  <c r="Y35" i="35"/>
  <c r="L34" i="35"/>
  <c r="U62" i="35"/>
  <c r="U60" i="35"/>
  <c r="U58" i="35"/>
  <c r="U56" i="35"/>
  <c r="U54" i="35"/>
  <c r="U52" i="35"/>
  <c r="U50" i="35"/>
  <c r="U48" i="35"/>
  <c r="O45" i="35"/>
  <c r="Y39" i="35"/>
  <c r="Y43" i="35"/>
  <c r="R43" i="35"/>
  <c r="O43" i="35"/>
  <c r="L42" i="35"/>
  <c r="Y37" i="35"/>
  <c r="R37" i="35"/>
  <c r="O41" i="35"/>
  <c r="O39" i="35"/>
  <c r="L38" i="35"/>
  <c r="Q38" i="35" s="1"/>
  <c r="O37" i="35"/>
  <c r="U33" i="35"/>
  <c r="Q43" i="35"/>
  <c r="Q39" i="35"/>
  <c r="T39" i="35" s="1"/>
  <c r="Q37" i="35"/>
  <c r="Q35" i="35"/>
  <c r="U32" i="35"/>
  <c r="U31" i="35"/>
  <c r="U30" i="35"/>
  <c r="U29" i="35"/>
  <c r="U28" i="35"/>
  <c r="U27" i="35"/>
  <c r="U26" i="35"/>
  <c r="U25" i="35"/>
  <c r="U24" i="35"/>
  <c r="U23" i="35"/>
  <c r="U22" i="35"/>
  <c r="U21" i="35"/>
  <c r="U20" i="35"/>
  <c r="U19" i="35"/>
  <c r="U18" i="35"/>
  <c r="U17" i="35"/>
  <c r="U16" i="35"/>
  <c r="U15" i="35"/>
  <c r="U14" i="35"/>
  <c r="U13" i="35"/>
  <c r="U11" i="35"/>
  <c r="U9" i="35"/>
  <c r="U7" i="35"/>
  <c r="U5" i="35"/>
  <c r="U12" i="35"/>
  <c r="U10" i="35"/>
  <c r="U8" i="35"/>
  <c r="U6" i="35"/>
  <c r="L3" i="35"/>
  <c r="Q3" i="35" s="1"/>
  <c r="L4" i="35"/>
  <c r="Q4" i="35" s="1"/>
  <c r="R20" i="34"/>
  <c r="Q29" i="34"/>
  <c r="W29" i="34" s="1"/>
  <c r="Q21" i="34"/>
  <c r="V21" i="34" s="1"/>
  <c r="X21" i="34" s="1"/>
  <c r="U28" i="34"/>
  <c r="L28" i="34" s="1"/>
  <c r="R40" i="34"/>
  <c r="Y40" i="34"/>
  <c r="Y44" i="34"/>
  <c r="Y43" i="34"/>
  <c r="R43" i="34"/>
  <c r="Y38" i="34"/>
  <c r="L42" i="34"/>
  <c r="Q42" i="34" s="1"/>
  <c r="L41" i="34"/>
  <c r="Q41" i="34" s="1"/>
  <c r="L37" i="34"/>
  <c r="Q37" i="34" s="1"/>
  <c r="Q38" i="34"/>
  <c r="Q44" i="34"/>
  <c r="T44" i="34" s="1"/>
  <c r="Q40" i="34"/>
  <c r="T40" i="34" s="1"/>
  <c r="Q43" i="34"/>
  <c r="L36" i="34"/>
  <c r="Q36" i="34" s="1"/>
  <c r="L27" i="34"/>
  <c r="Q27" i="34" s="1"/>
  <c r="U30" i="34"/>
  <c r="AE29" i="34"/>
  <c r="L25" i="34"/>
  <c r="Y35" i="34"/>
  <c r="L34" i="34"/>
  <c r="Q34" i="34" s="1"/>
  <c r="L31" i="34"/>
  <c r="Q31" i="34" s="1"/>
  <c r="L23" i="34"/>
  <c r="Q23" i="34" s="1"/>
  <c r="Q35" i="34"/>
  <c r="T35" i="34" s="1"/>
  <c r="W21" i="34"/>
  <c r="U22" i="34"/>
  <c r="R21" i="34"/>
  <c r="Y20" i="34"/>
  <c r="Q20" i="34"/>
  <c r="T20" i="34" s="1"/>
  <c r="R35" i="34"/>
  <c r="L32" i="34"/>
  <c r="Q32" i="34" s="1"/>
  <c r="U26" i="34"/>
  <c r="L24" i="34"/>
  <c r="Q24" i="34" s="1"/>
  <c r="U19" i="34"/>
  <c r="U17" i="34"/>
  <c r="U15" i="34"/>
  <c r="U18" i="34"/>
  <c r="U16" i="34"/>
  <c r="U13" i="34"/>
  <c r="U11" i="34"/>
  <c r="U9" i="34"/>
  <c r="U7" i="34"/>
  <c r="U5" i="34"/>
  <c r="U14" i="34"/>
  <c r="U12" i="34"/>
  <c r="U10" i="34"/>
  <c r="U8" i="34"/>
  <c r="U6" i="34"/>
  <c r="L4" i="34"/>
  <c r="Q4" i="34" s="1"/>
  <c r="L3" i="34"/>
  <c r="U19" i="33"/>
  <c r="L19" i="33" s="1"/>
  <c r="Q19" i="33" s="1"/>
  <c r="L24" i="33"/>
  <c r="Q24" i="33" s="1"/>
  <c r="L22" i="33"/>
  <c r="U27" i="33"/>
  <c r="U25" i="33"/>
  <c r="U23" i="33"/>
  <c r="Q22" i="33"/>
  <c r="L21" i="33"/>
  <c r="Q21" i="33" s="1"/>
  <c r="U18" i="33"/>
  <c r="U17" i="33"/>
  <c r="U16" i="33"/>
  <c r="U15" i="33"/>
  <c r="U14" i="33"/>
  <c r="U13" i="33"/>
  <c r="U20" i="33"/>
  <c r="U11" i="33"/>
  <c r="U9" i="33"/>
  <c r="U7" i="33"/>
  <c r="U5" i="33"/>
  <c r="U12" i="33"/>
  <c r="U10" i="33"/>
  <c r="U8" i="33"/>
  <c r="U6" i="33"/>
  <c r="L3" i="33"/>
  <c r="R4" i="33"/>
  <c r="Q4" i="33"/>
  <c r="Y4" i="33"/>
  <c r="T11" i="32"/>
  <c r="W34" i="32"/>
  <c r="Z34" i="32" s="1"/>
  <c r="V19" i="32"/>
  <c r="AA19" i="32" s="1"/>
  <c r="W11" i="32"/>
  <c r="AA11" i="32" s="1"/>
  <c r="T19" i="32"/>
  <c r="Z19" i="32"/>
  <c r="AA34" i="32"/>
  <c r="L38" i="32"/>
  <c r="Q38" i="32" s="1"/>
  <c r="L42" i="32"/>
  <c r="Q42" i="32" s="1"/>
  <c r="T33" i="32"/>
  <c r="Y33" i="32"/>
  <c r="L41" i="32"/>
  <c r="Q41" i="32" s="1"/>
  <c r="L37" i="32"/>
  <c r="R32" i="32"/>
  <c r="U12" i="32"/>
  <c r="M12" i="32"/>
  <c r="U9" i="32"/>
  <c r="M9" i="32"/>
  <c r="L40" i="32"/>
  <c r="Q40" i="32" s="1"/>
  <c r="L18" i="32"/>
  <c r="U13" i="32"/>
  <c r="M13" i="32"/>
  <c r="Y11" i="32"/>
  <c r="M11" i="32"/>
  <c r="R11" i="32" s="1"/>
  <c r="S11" i="32" s="1"/>
  <c r="O11" i="32"/>
  <c r="U43" i="32"/>
  <c r="M42" i="32"/>
  <c r="U39" i="32"/>
  <c r="M38" i="32"/>
  <c r="U35" i="32"/>
  <c r="X34" i="32"/>
  <c r="Y32" i="32"/>
  <c r="L28" i="32"/>
  <c r="Q28" i="32" s="1"/>
  <c r="L22" i="32"/>
  <c r="U20" i="32"/>
  <c r="M20" i="32"/>
  <c r="U17" i="32"/>
  <c r="M17" i="32"/>
  <c r="Y15" i="32"/>
  <c r="M15" i="32"/>
  <c r="O15" i="32"/>
  <c r="X11" i="32"/>
  <c r="M23" i="32"/>
  <c r="O23" i="32"/>
  <c r="L14" i="32"/>
  <c r="Q14" i="32" s="1"/>
  <c r="M7" i="32"/>
  <c r="O7" i="32"/>
  <c r="T34" i="32"/>
  <c r="M33" i="32"/>
  <c r="R33" i="32" s="1"/>
  <c r="S33" i="32" s="1"/>
  <c r="V33" i="32"/>
  <c r="AA33" i="32" s="1"/>
  <c r="L29" i="32"/>
  <c r="Q29" i="32" s="1"/>
  <c r="L27" i="32"/>
  <c r="Q27" i="32" s="1"/>
  <c r="U26" i="32"/>
  <c r="M26" i="32"/>
  <c r="U16" i="32"/>
  <c r="M16" i="32"/>
  <c r="M34" i="32"/>
  <c r="AE34" i="32" s="1"/>
  <c r="M32" i="32"/>
  <c r="L31" i="32"/>
  <c r="Q31" i="32" s="1"/>
  <c r="U30" i="32"/>
  <c r="M30" i="32"/>
  <c r="M29" i="32"/>
  <c r="M27" i="32"/>
  <c r="M24" i="32"/>
  <c r="U24" i="32"/>
  <c r="L23" i="32"/>
  <c r="Q23" i="32" s="1"/>
  <c r="U21" i="32"/>
  <c r="M21" i="32"/>
  <c r="Y19" i="32"/>
  <c r="M19" i="32"/>
  <c r="R19" i="32" s="1"/>
  <c r="S19" i="32" s="1"/>
  <c r="O19" i="32"/>
  <c r="L10" i="32"/>
  <c r="Q10" i="32" s="1"/>
  <c r="U8" i="32"/>
  <c r="M8" i="32"/>
  <c r="L7" i="32"/>
  <c r="Q7" i="32" s="1"/>
  <c r="AC25" i="32"/>
  <c r="L4" i="32"/>
  <c r="Q4" i="32" s="1"/>
  <c r="U3" i="32"/>
  <c r="M3" i="32"/>
  <c r="U5" i="32"/>
  <c r="M5" i="32"/>
  <c r="V32" i="32" l="1"/>
  <c r="X32" i="32" s="1"/>
  <c r="T32" i="32"/>
  <c r="W32" i="32"/>
  <c r="Q77" i="35"/>
  <c r="T77" i="35" s="1"/>
  <c r="Q45" i="35"/>
  <c r="T45" i="35" s="1"/>
  <c r="R77" i="35"/>
  <c r="R25" i="32"/>
  <c r="S25" i="32" s="1"/>
  <c r="R15" i="32"/>
  <c r="S15" i="32" s="1"/>
  <c r="Q39" i="34"/>
  <c r="T39" i="34" s="1"/>
  <c r="R39" i="34"/>
  <c r="S39" i="34" s="1"/>
  <c r="W96" i="35"/>
  <c r="AA96" i="35" s="1"/>
  <c r="S32" i="32"/>
  <c r="W14" i="32"/>
  <c r="V14" i="32"/>
  <c r="X14" i="32" s="1"/>
  <c r="V23" i="32"/>
  <c r="X23" i="32" s="1"/>
  <c r="W23" i="32"/>
  <c r="W29" i="32"/>
  <c r="Z29" i="32" s="1"/>
  <c r="V29" i="32"/>
  <c r="V40" i="32"/>
  <c r="X40" i="32" s="1"/>
  <c r="AB40" i="32" s="1"/>
  <c r="W40" i="32"/>
  <c r="V4" i="32"/>
  <c r="X4" i="32" s="1"/>
  <c r="AB4" i="32" s="1"/>
  <c r="W4" i="32"/>
  <c r="W28" i="32"/>
  <c r="V28" i="32"/>
  <c r="X28" i="32" s="1"/>
  <c r="W42" i="32"/>
  <c r="Z42" i="32" s="1"/>
  <c r="V42" i="32"/>
  <c r="X42" i="32" s="1"/>
  <c r="V7" i="32"/>
  <c r="X7" i="32" s="1"/>
  <c r="W7" i="32"/>
  <c r="W27" i="32"/>
  <c r="Z27" i="32" s="1"/>
  <c r="V27" i="32"/>
  <c r="W41" i="32"/>
  <c r="Z41" i="32" s="1"/>
  <c r="V41" i="32"/>
  <c r="W38" i="32"/>
  <c r="Z38" i="32" s="1"/>
  <c r="V38" i="32"/>
  <c r="X38" i="32" s="1"/>
  <c r="AD38" i="32" s="1"/>
  <c r="V15" i="32"/>
  <c r="X15" i="32" s="1"/>
  <c r="AB15" i="32" s="1"/>
  <c r="W15" i="32"/>
  <c r="Z15" i="32" s="1"/>
  <c r="T15" i="32"/>
  <c r="W10" i="32"/>
  <c r="Z10" i="32" s="1"/>
  <c r="V10" i="32"/>
  <c r="X10" i="32" s="1"/>
  <c r="V31" i="32"/>
  <c r="X31" i="32" s="1"/>
  <c r="W31" i="32"/>
  <c r="Z31" i="32" s="1"/>
  <c r="L3" i="32"/>
  <c r="Q3" i="32"/>
  <c r="AD32" i="32"/>
  <c r="AB96" i="35"/>
  <c r="L6" i="32"/>
  <c r="Q6" i="32"/>
  <c r="Q18" i="32"/>
  <c r="T96" i="35"/>
  <c r="Q22" i="32"/>
  <c r="T4" i="32"/>
  <c r="L5" i="32"/>
  <c r="R5" i="32" s="1"/>
  <c r="T25" i="32"/>
  <c r="V25" i="32"/>
  <c r="X25" i="32" s="1"/>
  <c r="W25" i="32"/>
  <c r="Q37" i="32"/>
  <c r="V36" i="32"/>
  <c r="X36" i="32" s="1"/>
  <c r="AB36" i="32" s="1"/>
  <c r="W36" i="32"/>
  <c r="X24" i="28"/>
  <c r="Z24" i="28"/>
  <c r="X22" i="28"/>
  <c r="Z22" i="28"/>
  <c r="AC84" i="35"/>
  <c r="L36" i="35"/>
  <c r="Q36" i="35" s="1"/>
  <c r="Y45" i="35"/>
  <c r="AE45" i="35" s="1"/>
  <c r="S96" i="35"/>
  <c r="V29" i="34"/>
  <c r="X29" i="34" s="1"/>
  <c r="AB29" i="34" s="1"/>
  <c r="S21" i="34"/>
  <c r="T29" i="34"/>
  <c r="AD84" i="35"/>
  <c r="W84" i="35"/>
  <c r="AA84" i="35" s="1"/>
  <c r="T84" i="35"/>
  <c r="V98" i="35"/>
  <c r="X98" i="35" s="1"/>
  <c r="W98" i="35"/>
  <c r="V86" i="35"/>
  <c r="X86" i="35" s="1"/>
  <c r="W86" i="35"/>
  <c r="Y82" i="35"/>
  <c r="R82" i="35"/>
  <c r="V85" i="35"/>
  <c r="X85" i="35" s="1"/>
  <c r="W85" i="35"/>
  <c r="T85" i="35"/>
  <c r="S87" i="35"/>
  <c r="W87" i="35"/>
  <c r="V87" i="35"/>
  <c r="X87" i="35" s="1"/>
  <c r="AE80" i="35"/>
  <c r="AC80" i="35"/>
  <c r="S80" i="35"/>
  <c r="W80" i="35"/>
  <c r="V80" i="35"/>
  <c r="X80" i="35" s="1"/>
  <c r="Z84" i="35"/>
  <c r="R85" i="35"/>
  <c r="S85" i="35" s="1"/>
  <c r="L90" i="35"/>
  <c r="Q90" i="35" s="1"/>
  <c r="T101" i="35"/>
  <c r="Y101" i="35"/>
  <c r="R101" i="35"/>
  <c r="L103" i="35"/>
  <c r="Q103" i="35" s="1"/>
  <c r="R93" i="35"/>
  <c r="T93" i="35"/>
  <c r="Y93" i="35"/>
  <c r="W83" i="35"/>
  <c r="V83" i="35"/>
  <c r="X83" i="35" s="1"/>
  <c r="T91" i="35"/>
  <c r="Y91" i="35"/>
  <c r="R91" i="35"/>
  <c r="S91" i="35" s="1"/>
  <c r="T95" i="35"/>
  <c r="R95" i="35"/>
  <c r="S95" i="35" s="1"/>
  <c r="Y95" i="35"/>
  <c r="V102" i="35"/>
  <c r="X102" i="35" s="1"/>
  <c r="W102" i="35"/>
  <c r="L94" i="35"/>
  <c r="Q94" i="35" s="1"/>
  <c r="R92" i="35"/>
  <c r="Y92" i="35"/>
  <c r="R102" i="35"/>
  <c r="S102" i="35" s="1"/>
  <c r="Y102" i="35"/>
  <c r="T102" i="35"/>
  <c r="Y98" i="35"/>
  <c r="T98" i="35"/>
  <c r="R98" i="35"/>
  <c r="S98" i="35" s="1"/>
  <c r="V97" i="35"/>
  <c r="X97" i="35" s="1"/>
  <c r="S97" i="35"/>
  <c r="W97" i="35"/>
  <c r="AB105" i="35"/>
  <c r="AD105" i="35"/>
  <c r="V100" i="35"/>
  <c r="X100" i="35" s="1"/>
  <c r="W100" i="35"/>
  <c r="W88" i="35"/>
  <c r="V88" i="35"/>
  <c r="X88" i="35" s="1"/>
  <c r="AE87" i="35"/>
  <c r="AC87" i="35"/>
  <c r="AE96" i="35"/>
  <c r="AC96" i="35"/>
  <c r="S101" i="35"/>
  <c r="W101" i="35"/>
  <c r="V101" i="35"/>
  <c r="X101" i="35" s="1"/>
  <c r="V104" i="35"/>
  <c r="X104" i="35" s="1"/>
  <c r="W104" i="35"/>
  <c r="Q82" i="35"/>
  <c r="V81" i="35"/>
  <c r="X81" i="35" s="1"/>
  <c r="W81" i="35"/>
  <c r="S81" i="35"/>
  <c r="L89" i="35"/>
  <c r="Q89" i="35" s="1"/>
  <c r="R99" i="35"/>
  <c r="Y99" i="35"/>
  <c r="Q99" i="35"/>
  <c r="T99" i="35" s="1"/>
  <c r="T104" i="35"/>
  <c r="Y104" i="35"/>
  <c r="R104" i="35"/>
  <c r="S104" i="35" s="1"/>
  <c r="AE85" i="35"/>
  <c r="Q92" i="35"/>
  <c r="AE97" i="35"/>
  <c r="AC97" i="35"/>
  <c r="T100" i="35"/>
  <c r="Y100" i="35"/>
  <c r="R100" i="35"/>
  <c r="S100" i="35" s="1"/>
  <c r="R88" i="35"/>
  <c r="S88" i="35" s="1"/>
  <c r="Y88" i="35"/>
  <c r="T88" i="35"/>
  <c r="T83" i="35"/>
  <c r="R83" i="35"/>
  <c r="S83" i="35" s="1"/>
  <c r="Y83" i="35"/>
  <c r="AA105" i="35"/>
  <c r="Z105" i="35"/>
  <c r="T87" i="35"/>
  <c r="Y86" i="35"/>
  <c r="R86" i="35"/>
  <c r="S86" i="35" s="1"/>
  <c r="T86" i="35"/>
  <c r="AE81" i="35"/>
  <c r="AC81" i="35"/>
  <c r="V91" i="35"/>
  <c r="X91" i="35" s="1"/>
  <c r="W91" i="35"/>
  <c r="V95" i="35"/>
  <c r="X95" i="35" s="1"/>
  <c r="W95" i="35"/>
  <c r="T97" i="35"/>
  <c r="V93" i="35"/>
  <c r="X93" i="35" s="1"/>
  <c r="S93" i="35"/>
  <c r="W93" i="35"/>
  <c r="R41" i="35"/>
  <c r="Q41" i="35"/>
  <c r="W41" i="35" s="1"/>
  <c r="V76" i="35"/>
  <c r="X76" i="35" s="1"/>
  <c r="W76" i="35"/>
  <c r="V78" i="35"/>
  <c r="X78" i="35" s="1"/>
  <c r="W78" i="35"/>
  <c r="L7" i="35"/>
  <c r="R44" i="35"/>
  <c r="Q44" i="35"/>
  <c r="Y44" i="35"/>
  <c r="L52" i="35"/>
  <c r="Q52" i="35" s="1"/>
  <c r="Y34" i="35"/>
  <c r="R34" i="35"/>
  <c r="L59" i="35"/>
  <c r="L71" i="35"/>
  <c r="S79" i="35"/>
  <c r="W79" i="35"/>
  <c r="V79" i="35"/>
  <c r="X79" i="35" s="1"/>
  <c r="L10" i="35"/>
  <c r="L9" i="35"/>
  <c r="L14" i="35"/>
  <c r="L16" i="35"/>
  <c r="L18" i="35"/>
  <c r="Q18" i="35" s="1"/>
  <c r="L20" i="35"/>
  <c r="Q20" i="35" s="1"/>
  <c r="L22" i="35"/>
  <c r="L24" i="35"/>
  <c r="L26" i="35"/>
  <c r="Q26" i="35" s="1"/>
  <c r="L28" i="35"/>
  <c r="Q28" i="35" s="1"/>
  <c r="L30" i="35"/>
  <c r="L32" i="35"/>
  <c r="S41" i="35"/>
  <c r="Y40" i="35"/>
  <c r="R40" i="35"/>
  <c r="R42" i="35"/>
  <c r="Y42" i="35"/>
  <c r="AC43" i="35"/>
  <c r="AE43" i="35"/>
  <c r="AE39" i="35"/>
  <c r="AC39" i="35"/>
  <c r="L54" i="35"/>
  <c r="Q54" i="35" s="1"/>
  <c r="L62" i="35"/>
  <c r="R46" i="35"/>
  <c r="Q46" i="35"/>
  <c r="Y46" i="35"/>
  <c r="L53" i="35"/>
  <c r="L61" i="35"/>
  <c r="Q42" i="35"/>
  <c r="T42" i="35" s="1"/>
  <c r="T79" i="35"/>
  <c r="L33" i="35"/>
  <c r="Q33" i="35" s="1"/>
  <c r="AE41" i="35"/>
  <c r="AC41" i="35"/>
  <c r="L51" i="35"/>
  <c r="L69" i="35"/>
  <c r="AE79" i="35"/>
  <c r="AC79" i="35"/>
  <c r="L12" i="35"/>
  <c r="L11" i="35"/>
  <c r="Q11" i="35" s="1"/>
  <c r="S35" i="35"/>
  <c r="W35" i="35"/>
  <c r="V35" i="35"/>
  <c r="X35" i="35" s="1"/>
  <c r="V43" i="35"/>
  <c r="X43" i="35" s="1"/>
  <c r="W43" i="35"/>
  <c r="S43" i="35"/>
  <c r="Y38" i="35"/>
  <c r="R38" i="35"/>
  <c r="T38" i="35"/>
  <c r="AE37" i="35"/>
  <c r="AC37" i="35"/>
  <c r="T43" i="35"/>
  <c r="L48" i="35"/>
  <c r="Q48" i="35" s="1"/>
  <c r="L56" i="35"/>
  <c r="Q40" i="35"/>
  <c r="AE35" i="35"/>
  <c r="AC35" i="35"/>
  <c r="L47" i="35"/>
  <c r="Q47" i="35" s="1"/>
  <c r="L55" i="35"/>
  <c r="Q55" i="35" s="1"/>
  <c r="L63" i="35"/>
  <c r="Q63" i="35" s="1"/>
  <c r="L68" i="35"/>
  <c r="Q68" i="35" s="1"/>
  <c r="L70" i="35"/>
  <c r="L72" i="35"/>
  <c r="V74" i="35"/>
  <c r="X74" i="35" s="1"/>
  <c r="S74" i="35"/>
  <c r="W74" i="35"/>
  <c r="L64" i="35"/>
  <c r="S75" i="35"/>
  <c r="W75" i="35"/>
  <c r="V75" i="35"/>
  <c r="X75" i="35" s="1"/>
  <c r="T74" i="35"/>
  <c r="AE75" i="35"/>
  <c r="AC75" i="35"/>
  <c r="AE77" i="35"/>
  <c r="AC77" i="35"/>
  <c r="L8" i="35"/>
  <c r="Q8" i="35" s="1"/>
  <c r="S39" i="35"/>
  <c r="W39" i="35"/>
  <c r="V39" i="35"/>
  <c r="X39" i="35" s="1"/>
  <c r="L60" i="35"/>
  <c r="L67" i="35"/>
  <c r="Q67" i="35" s="1"/>
  <c r="L73" i="35"/>
  <c r="L66" i="35"/>
  <c r="Q66" i="35" s="1"/>
  <c r="Y76" i="35"/>
  <c r="R76" i="35"/>
  <c r="S76" i="35" s="1"/>
  <c r="T76" i="35"/>
  <c r="AC74" i="35"/>
  <c r="AE74" i="35"/>
  <c r="L6" i="35"/>
  <c r="Q6" i="35" s="1"/>
  <c r="L5" i="35"/>
  <c r="L13" i="35"/>
  <c r="Q13" i="35" s="1"/>
  <c r="L15" i="35"/>
  <c r="L17" i="35"/>
  <c r="L19" i="35"/>
  <c r="Q19" i="35" s="1"/>
  <c r="L21" i="35"/>
  <c r="L23" i="35"/>
  <c r="L25" i="35"/>
  <c r="L27" i="35"/>
  <c r="Q27" i="35" s="1"/>
  <c r="L29" i="35"/>
  <c r="Q29" i="35" s="1"/>
  <c r="L31" i="35"/>
  <c r="S37" i="35"/>
  <c r="W37" i="35"/>
  <c r="V37" i="35"/>
  <c r="X37" i="35" s="1"/>
  <c r="V45" i="35"/>
  <c r="X45" i="35" s="1"/>
  <c r="S45" i="35"/>
  <c r="W45" i="35"/>
  <c r="Y36" i="35"/>
  <c r="R36" i="35"/>
  <c r="T37" i="35"/>
  <c r="V38" i="35"/>
  <c r="X38" i="35" s="1"/>
  <c r="S38" i="35"/>
  <c r="W38" i="35"/>
  <c r="L50" i="35"/>
  <c r="Q50" i="35" s="1"/>
  <c r="L58" i="35"/>
  <c r="Q58" i="35" s="1"/>
  <c r="Q34" i="35"/>
  <c r="T35" i="35"/>
  <c r="L49" i="35"/>
  <c r="Q49" i="35" s="1"/>
  <c r="L57" i="35"/>
  <c r="Q57" i="35" s="1"/>
  <c r="L65" i="35"/>
  <c r="Q65" i="35" s="1"/>
  <c r="S77" i="35"/>
  <c r="W77" i="35"/>
  <c r="V77" i="35"/>
  <c r="X77" i="35" s="1"/>
  <c r="Y78" i="35"/>
  <c r="R78" i="35"/>
  <c r="S78" i="35" s="1"/>
  <c r="T78" i="35"/>
  <c r="T75" i="35"/>
  <c r="W3" i="35"/>
  <c r="V3" i="35"/>
  <c r="X3" i="35" s="1"/>
  <c r="W4" i="35"/>
  <c r="V4" i="35"/>
  <c r="X4" i="35" s="1"/>
  <c r="Y3" i="35"/>
  <c r="T3" i="35"/>
  <c r="R3" i="35"/>
  <c r="S3" i="35" s="1"/>
  <c r="R4" i="35"/>
  <c r="S4" i="35" s="1"/>
  <c r="Y4" i="35"/>
  <c r="T4" i="35"/>
  <c r="T21" i="34"/>
  <c r="Q28" i="34"/>
  <c r="V28" i="34" s="1"/>
  <c r="X28" i="34" s="1"/>
  <c r="R28" i="34"/>
  <c r="Y28" i="34"/>
  <c r="W37" i="34"/>
  <c r="V37" i="34"/>
  <c r="X37" i="34" s="1"/>
  <c r="W41" i="34"/>
  <c r="V41" i="34"/>
  <c r="X41" i="34" s="1"/>
  <c r="W45" i="34"/>
  <c r="V45" i="34"/>
  <c r="X45" i="34" s="1"/>
  <c r="V43" i="34"/>
  <c r="X43" i="34" s="1"/>
  <c r="S43" i="34"/>
  <c r="W43" i="34"/>
  <c r="V38" i="34"/>
  <c r="X38" i="34" s="1"/>
  <c r="S38" i="34"/>
  <c r="W38" i="34"/>
  <c r="R42" i="34"/>
  <c r="S42" i="34" s="1"/>
  <c r="T42" i="34"/>
  <c r="Y42" i="34"/>
  <c r="AC44" i="34"/>
  <c r="AE44" i="34"/>
  <c r="V40" i="34"/>
  <c r="X40" i="34" s="1"/>
  <c r="S40" i="34"/>
  <c r="W40" i="34"/>
  <c r="T41" i="34"/>
  <c r="Y41" i="34"/>
  <c r="R41" i="34"/>
  <c r="S41" i="34" s="1"/>
  <c r="T43" i="34"/>
  <c r="V44" i="34"/>
  <c r="X44" i="34" s="1"/>
  <c r="S44" i="34"/>
  <c r="W44" i="34"/>
  <c r="T37" i="34"/>
  <c r="Y37" i="34"/>
  <c r="R37" i="34"/>
  <c r="S37" i="34" s="1"/>
  <c r="AE38" i="34"/>
  <c r="AC38" i="34"/>
  <c r="AC39" i="34"/>
  <c r="AE39" i="34"/>
  <c r="T45" i="34"/>
  <c r="Y45" i="34"/>
  <c r="R45" i="34"/>
  <c r="S45" i="34" s="1"/>
  <c r="V39" i="34"/>
  <c r="X39" i="34" s="1"/>
  <c r="W39" i="34"/>
  <c r="V42" i="34"/>
  <c r="X42" i="34" s="1"/>
  <c r="W42" i="34"/>
  <c r="T38" i="34"/>
  <c r="AC43" i="34"/>
  <c r="AE43" i="34"/>
  <c r="AC40" i="34"/>
  <c r="AE40" i="34"/>
  <c r="R36" i="34"/>
  <c r="S36" i="34" s="1"/>
  <c r="T36" i="34"/>
  <c r="Y36" i="34"/>
  <c r="W36" i="34"/>
  <c r="V36" i="34"/>
  <c r="X36" i="34" s="1"/>
  <c r="W24" i="34"/>
  <c r="V24" i="34"/>
  <c r="X24" i="34" s="1"/>
  <c r="V23" i="34"/>
  <c r="X23" i="34" s="1"/>
  <c r="W23" i="34"/>
  <c r="V33" i="34"/>
  <c r="X33" i="34" s="1"/>
  <c r="W33" i="34"/>
  <c r="W27" i="34"/>
  <c r="V27" i="34"/>
  <c r="X27" i="34" s="1"/>
  <c r="L26" i="34"/>
  <c r="Q26" i="34" s="1"/>
  <c r="S20" i="34"/>
  <c r="W20" i="34"/>
  <c r="V20" i="34"/>
  <c r="X20" i="34" s="1"/>
  <c r="L22" i="34"/>
  <c r="Q22" i="34" s="1"/>
  <c r="R33" i="34"/>
  <c r="S33" i="34" s="1"/>
  <c r="T33" i="34"/>
  <c r="Y33" i="34"/>
  <c r="AE21" i="34"/>
  <c r="V31" i="34"/>
  <c r="X31" i="34" s="1"/>
  <c r="W31" i="34"/>
  <c r="V34" i="34"/>
  <c r="X34" i="34" s="1"/>
  <c r="W34" i="34"/>
  <c r="R25" i="34"/>
  <c r="Y25" i="34"/>
  <c r="L30" i="34"/>
  <c r="Q30" i="34" s="1"/>
  <c r="T27" i="34"/>
  <c r="Y27" i="34"/>
  <c r="R27" i="34"/>
  <c r="S27" i="34" s="1"/>
  <c r="AD29" i="34"/>
  <c r="AC21" i="34"/>
  <c r="W32" i="34"/>
  <c r="V32" i="34"/>
  <c r="X32" i="34" s="1"/>
  <c r="AC35" i="34"/>
  <c r="AE35" i="34"/>
  <c r="Z29" i="34"/>
  <c r="AA29" i="34"/>
  <c r="R29" i="34"/>
  <c r="S29" i="34" s="1"/>
  <c r="AD21" i="34"/>
  <c r="AB21" i="34"/>
  <c r="T23" i="34"/>
  <c r="Y23" i="34"/>
  <c r="R23" i="34"/>
  <c r="S23" i="34" s="1"/>
  <c r="AC29" i="34"/>
  <c r="T24" i="34"/>
  <c r="Y24" i="34"/>
  <c r="R24" i="34"/>
  <c r="S24" i="34" s="1"/>
  <c r="T32" i="34"/>
  <c r="Y32" i="34"/>
  <c r="R32" i="34"/>
  <c r="S32" i="34" s="1"/>
  <c r="AE20" i="34"/>
  <c r="AC20" i="34"/>
  <c r="Z21" i="34"/>
  <c r="AA21" i="34"/>
  <c r="W35" i="34"/>
  <c r="V35" i="34"/>
  <c r="X35" i="34" s="1"/>
  <c r="S35" i="34"/>
  <c r="Q25" i="34"/>
  <c r="T31" i="34"/>
  <c r="Y31" i="34"/>
  <c r="R31" i="34"/>
  <c r="S31" i="34" s="1"/>
  <c r="Y34" i="34"/>
  <c r="T34" i="34"/>
  <c r="R34" i="34"/>
  <c r="S34" i="34" s="1"/>
  <c r="L16" i="34"/>
  <c r="L19" i="34"/>
  <c r="L18" i="34"/>
  <c r="Q18" i="34" s="1"/>
  <c r="L15" i="34"/>
  <c r="Q15" i="34" s="1"/>
  <c r="L17" i="34"/>
  <c r="L8" i="34"/>
  <c r="L5" i="34"/>
  <c r="L13" i="34"/>
  <c r="Q13" i="34" s="1"/>
  <c r="L10" i="34"/>
  <c r="Q10" i="34" s="1"/>
  <c r="L7" i="34"/>
  <c r="L12" i="34"/>
  <c r="L9" i="34"/>
  <c r="Q9" i="34" s="1"/>
  <c r="L6" i="34"/>
  <c r="Q6" i="34" s="1"/>
  <c r="L14" i="34"/>
  <c r="L11" i="34"/>
  <c r="Y3" i="34"/>
  <c r="Q3" i="34"/>
  <c r="T3" i="34" s="1"/>
  <c r="R3" i="34"/>
  <c r="R4" i="34"/>
  <c r="S4" i="34" s="1"/>
  <c r="Y4" i="34"/>
  <c r="T4" i="34"/>
  <c r="W4" i="34"/>
  <c r="V4" i="34"/>
  <c r="X4" i="34" s="1"/>
  <c r="L27" i="33"/>
  <c r="Q27" i="33" s="1"/>
  <c r="V26" i="33"/>
  <c r="X26" i="33" s="1"/>
  <c r="W26" i="33"/>
  <c r="L23" i="33"/>
  <c r="R24" i="33"/>
  <c r="S24" i="33" s="1"/>
  <c r="Y24" i="33"/>
  <c r="T24" i="33"/>
  <c r="V22" i="33"/>
  <c r="X22" i="33" s="1"/>
  <c r="W22" i="33"/>
  <c r="V24" i="33"/>
  <c r="X24" i="33" s="1"/>
  <c r="W24" i="33"/>
  <c r="R22" i="33"/>
  <c r="S22" i="33" s="1"/>
  <c r="T22" i="33"/>
  <c r="Y22" i="33"/>
  <c r="L25" i="33"/>
  <c r="Q25" i="33" s="1"/>
  <c r="R26" i="33"/>
  <c r="S26" i="33" s="1"/>
  <c r="T26" i="33"/>
  <c r="Y26" i="33"/>
  <c r="L7" i="33"/>
  <c r="Q7" i="33" s="1"/>
  <c r="L12" i="33"/>
  <c r="L11" i="33"/>
  <c r="L6" i="33"/>
  <c r="Q6" i="33" s="1"/>
  <c r="L5" i="33"/>
  <c r="Q5" i="33" s="1"/>
  <c r="T19" i="33"/>
  <c r="Y19" i="33"/>
  <c r="R19" i="33"/>
  <c r="S19" i="33" s="1"/>
  <c r="L13" i="33"/>
  <c r="Q13" i="33" s="1"/>
  <c r="L15" i="33"/>
  <c r="L17" i="33"/>
  <c r="L8" i="33"/>
  <c r="W19" i="33"/>
  <c r="V19" i="33"/>
  <c r="X19" i="33" s="1"/>
  <c r="W21" i="33"/>
  <c r="V21" i="33"/>
  <c r="X21" i="33" s="1"/>
  <c r="L10" i="33"/>
  <c r="Q10" i="33" s="1"/>
  <c r="L9" i="33"/>
  <c r="L20" i="33"/>
  <c r="Q20" i="33" s="1"/>
  <c r="L14" i="33"/>
  <c r="L16" i="33"/>
  <c r="Q16" i="33" s="1"/>
  <c r="L18" i="33"/>
  <c r="Q18" i="33" s="1"/>
  <c r="R21" i="33"/>
  <c r="S21" i="33" s="1"/>
  <c r="T21" i="33"/>
  <c r="Y21" i="33"/>
  <c r="Y3" i="33"/>
  <c r="R3" i="33"/>
  <c r="W4" i="33"/>
  <c r="S4" i="33"/>
  <c r="V4" i="33"/>
  <c r="X4" i="33" s="1"/>
  <c r="Q3" i="33"/>
  <c r="T3" i="33" s="1"/>
  <c r="AE4" i="33"/>
  <c r="AC4" i="33"/>
  <c r="T4" i="33"/>
  <c r="Z7" i="32"/>
  <c r="Z11" i="32"/>
  <c r="X19" i="32"/>
  <c r="AB19" i="32" s="1"/>
  <c r="AA10" i="32"/>
  <c r="Z23" i="32"/>
  <c r="AA31" i="32"/>
  <c r="AD40" i="32"/>
  <c r="AB32" i="32"/>
  <c r="X29" i="32"/>
  <c r="AD29" i="32" s="1"/>
  <c r="X27" i="32"/>
  <c r="AD27" i="32" s="1"/>
  <c r="AD4" i="32"/>
  <c r="X41" i="32"/>
  <c r="AB41" i="32" s="1"/>
  <c r="AD42" i="32"/>
  <c r="AB42" i="32"/>
  <c r="AB10" i="32"/>
  <c r="AD10" i="32"/>
  <c r="L24" i="32"/>
  <c r="Q24" i="32" s="1"/>
  <c r="T31" i="32"/>
  <c r="Y31" i="32"/>
  <c r="R31" i="32"/>
  <c r="S31" i="32" s="1"/>
  <c r="L26" i="32"/>
  <c r="Q26" i="32" s="1"/>
  <c r="L17" i="32"/>
  <c r="Q17" i="32" s="1"/>
  <c r="AB28" i="32"/>
  <c r="AD28" i="32"/>
  <c r="AE11" i="32"/>
  <c r="AC11" i="32"/>
  <c r="AC34" i="32"/>
  <c r="AA42" i="32"/>
  <c r="R41" i="32"/>
  <c r="S41" i="32" s="1"/>
  <c r="T41" i="32"/>
  <c r="Y41" i="32"/>
  <c r="L8" i="32"/>
  <c r="Q8" i="32" s="1"/>
  <c r="L21" i="32"/>
  <c r="Q21" i="32" s="1"/>
  <c r="AB31" i="32"/>
  <c r="AD31" i="32"/>
  <c r="R34" i="32"/>
  <c r="S34" i="32" s="1"/>
  <c r="AD23" i="32"/>
  <c r="AB23" i="32"/>
  <c r="T27" i="32"/>
  <c r="Y27" i="32"/>
  <c r="R27" i="32"/>
  <c r="S27" i="32" s="1"/>
  <c r="AE15" i="32"/>
  <c r="AC15" i="32"/>
  <c r="L20" i="32"/>
  <c r="Q20" i="32" s="1"/>
  <c r="AE32" i="32"/>
  <c r="AC32" i="32"/>
  <c r="L43" i="32"/>
  <c r="Q43" i="32" s="1"/>
  <c r="T18" i="32"/>
  <c r="R18" i="32"/>
  <c r="S18" i="32" s="1"/>
  <c r="Y18" i="32"/>
  <c r="Y36" i="32"/>
  <c r="T36" i="32"/>
  <c r="R36" i="32"/>
  <c r="S36" i="32" s="1"/>
  <c r="Y42" i="32"/>
  <c r="T42" i="32"/>
  <c r="R42" i="32"/>
  <c r="S42" i="32" s="1"/>
  <c r="AD25" i="32"/>
  <c r="AB25" i="32"/>
  <c r="R7" i="32"/>
  <c r="S7" i="32" s="1"/>
  <c r="T7" i="32"/>
  <c r="Y7" i="32"/>
  <c r="AE19" i="32"/>
  <c r="AC19" i="32"/>
  <c r="T14" i="32"/>
  <c r="R14" i="32"/>
  <c r="S14" i="32" s="1"/>
  <c r="Y14" i="32"/>
  <c r="AD11" i="32"/>
  <c r="AB11" i="32"/>
  <c r="AB34" i="32"/>
  <c r="AD34" i="32"/>
  <c r="L39" i="32"/>
  <c r="Q39" i="32" s="1"/>
  <c r="L12" i="32"/>
  <c r="Q12" i="32" s="1"/>
  <c r="R37" i="32"/>
  <c r="S37" i="32" s="1"/>
  <c r="Y37" i="32"/>
  <c r="T37" i="32"/>
  <c r="T10" i="32"/>
  <c r="R10" i="32"/>
  <c r="S10" i="32" s="1"/>
  <c r="Y10" i="32"/>
  <c r="R23" i="32"/>
  <c r="S23" i="32" s="1"/>
  <c r="T23" i="32"/>
  <c r="Y23" i="32"/>
  <c r="L30" i="32"/>
  <c r="Q30" i="32" s="1"/>
  <c r="X33" i="32"/>
  <c r="AD7" i="32"/>
  <c r="AB7" i="32"/>
  <c r="L16" i="32"/>
  <c r="Q16" i="32" s="1"/>
  <c r="R29" i="32"/>
  <c r="S29" i="32" s="1"/>
  <c r="T29" i="32"/>
  <c r="Y29" i="32"/>
  <c r="AB14" i="32"/>
  <c r="AD14" i="32"/>
  <c r="T22" i="32"/>
  <c r="R22" i="32"/>
  <c r="S22" i="32" s="1"/>
  <c r="Y22" i="32"/>
  <c r="T28" i="32"/>
  <c r="R28" i="32"/>
  <c r="S28" i="32" s="1"/>
  <c r="Y28" i="32"/>
  <c r="L35" i="32"/>
  <c r="Q35" i="32" s="1"/>
  <c r="L13" i="32"/>
  <c r="Q13" i="32" s="1"/>
  <c r="Y40" i="32"/>
  <c r="T40" i="32"/>
  <c r="R40" i="32"/>
  <c r="S40" i="32" s="1"/>
  <c r="L9" i="32"/>
  <c r="Q9" i="32" s="1"/>
  <c r="AC33" i="32"/>
  <c r="AE33" i="32"/>
  <c r="Y38" i="32"/>
  <c r="T38" i="32"/>
  <c r="R38" i="32"/>
  <c r="S38" i="32" s="1"/>
  <c r="R3" i="32"/>
  <c r="S3" i="32" s="1"/>
  <c r="Y4" i="32"/>
  <c r="R4" i="32"/>
  <c r="S4" i="32" s="1"/>
  <c r="Y3" i="32"/>
  <c r="T3" i="32"/>
  <c r="Y5" i="32"/>
  <c r="AA38" i="32" l="1"/>
  <c r="AD15" i="32"/>
  <c r="Z96" i="35"/>
  <c r="AD36" i="32"/>
  <c r="AB38" i="32"/>
  <c r="Z32" i="32"/>
  <c r="AA32" i="32"/>
  <c r="AA15" i="32"/>
  <c r="W43" i="32"/>
  <c r="Z43" i="32" s="1"/>
  <c r="V43" i="32"/>
  <c r="W39" i="32"/>
  <c r="Z39" i="32" s="1"/>
  <c r="V39" i="32"/>
  <c r="W9" i="32"/>
  <c r="Z9" i="32" s="1"/>
  <c r="V9" i="32"/>
  <c r="W13" i="32"/>
  <c r="Z13" i="32" s="1"/>
  <c r="V13" i="32"/>
  <c r="W17" i="32"/>
  <c r="Z17" i="32" s="1"/>
  <c r="V17" i="32"/>
  <c r="W35" i="32"/>
  <c r="Z35" i="32" s="1"/>
  <c r="V35" i="32"/>
  <c r="W30" i="32"/>
  <c r="Z30" i="32" s="1"/>
  <c r="V30" i="32"/>
  <c r="W21" i="32"/>
  <c r="Z21" i="32" s="1"/>
  <c r="V21" i="32"/>
  <c r="W26" i="32"/>
  <c r="Z26" i="32" s="1"/>
  <c r="V26" i="32"/>
  <c r="W24" i="32"/>
  <c r="Z24" i="32" s="1"/>
  <c r="V24" i="32"/>
  <c r="W16" i="32"/>
  <c r="Z16" i="32" s="1"/>
  <c r="V16" i="32"/>
  <c r="W12" i="32"/>
  <c r="Z12" i="32" s="1"/>
  <c r="V12" i="32"/>
  <c r="W20" i="32"/>
  <c r="Z20" i="32" s="1"/>
  <c r="V20" i="32"/>
  <c r="W8" i="32"/>
  <c r="Z8" i="32" s="1"/>
  <c r="V8" i="32"/>
  <c r="W37" i="32"/>
  <c r="Z37" i="32" s="1"/>
  <c r="V37" i="32"/>
  <c r="AA41" i="32"/>
  <c r="AA7" i="32"/>
  <c r="Z40" i="32"/>
  <c r="AA40" i="32"/>
  <c r="AA23" i="32"/>
  <c r="Z25" i="32"/>
  <c r="AA25" i="32"/>
  <c r="V22" i="32"/>
  <c r="X22" i="32" s="1"/>
  <c r="W22" i="32"/>
  <c r="V6" i="32"/>
  <c r="X6" i="32" s="1"/>
  <c r="W6" i="32"/>
  <c r="V3" i="32"/>
  <c r="X3" i="32" s="1"/>
  <c r="W3" i="32"/>
  <c r="Z28" i="32"/>
  <c r="AA28" i="32"/>
  <c r="Z36" i="32"/>
  <c r="AA36" i="32"/>
  <c r="Q5" i="32"/>
  <c r="W18" i="32"/>
  <c r="V18" i="32"/>
  <c r="X18" i="32" s="1"/>
  <c r="R6" i="32"/>
  <c r="S6" i="32" s="1"/>
  <c r="Y6" i="32"/>
  <c r="T6" i="32"/>
  <c r="AA27" i="32"/>
  <c r="Z4" i="32"/>
  <c r="AA4" i="32"/>
  <c r="AA29" i="32"/>
  <c r="S5" i="32"/>
  <c r="AA14" i="32"/>
  <c r="Z14" i="32"/>
  <c r="V36" i="35"/>
  <c r="X36" i="35" s="1"/>
  <c r="W36" i="35"/>
  <c r="Z36" i="35" s="1"/>
  <c r="S36" i="35"/>
  <c r="AC45" i="35"/>
  <c r="V41" i="35"/>
  <c r="X41" i="35" s="1"/>
  <c r="T36" i="35"/>
  <c r="T41" i="35"/>
  <c r="W28" i="34"/>
  <c r="V103" i="35"/>
  <c r="X103" i="35" s="1"/>
  <c r="W103" i="35"/>
  <c r="W90" i="35"/>
  <c r="V90" i="35"/>
  <c r="X90" i="35" s="1"/>
  <c r="V94" i="35"/>
  <c r="X94" i="35" s="1"/>
  <c r="W94" i="35"/>
  <c r="V89" i="35"/>
  <c r="X89" i="35" s="1"/>
  <c r="W89" i="35"/>
  <c r="Z93" i="35"/>
  <c r="AA93" i="35"/>
  <c r="Z91" i="35"/>
  <c r="AA91" i="35"/>
  <c r="AC104" i="35"/>
  <c r="AE104" i="35"/>
  <c r="W82" i="35"/>
  <c r="V82" i="35"/>
  <c r="X82" i="35" s="1"/>
  <c r="S82" i="35"/>
  <c r="AB101" i="35"/>
  <c r="AD101" i="35"/>
  <c r="AA88" i="35"/>
  <c r="Z88" i="35"/>
  <c r="AB100" i="35"/>
  <c r="AD100" i="35"/>
  <c r="AC98" i="35"/>
  <c r="AE98" i="35"/>
  <c r="AE92" i="35"/>
  <c r="AC92" i="35"/>
  <c r="AD102" i="35"/>
  <c r="AB102" i="35"/>
  <c r="T82" i="35"/>
  <c r="AB86" i="35"/>
  <c r="AD86" i="35"/>
  <c r="AA95" i="35"/>
  <c r="Z95" i="35"/>
  <c r="AB91" i="35"/>
  <c r="AD91" i="35"/>
  <c r="AC100" i="35"/>
  <c r="AE100" i="35"/>
  <c r="S92" i="35"/>
  <c r="W92" i="35"/>
  <c r="V92" i="35"/>
  <c r="X92" i="35" s="1"/>
  <c r="Z104" i="35"/>
  <c r="AA104" i="35"/>
  <c r="AA101" i="35"/>
  <c r="Z101" i="35"/>
  <c r="AD97" i="35"/>
  <c r="AB97" i="35"/>
  <c r="T92" i="35"/>
  <c r="Y94" i="35"/>
  <c r="T94" i="35"/>
  <c r="R94" i="35"/>
  <c r="S94" i="35" s="1"/>
  <c r="AC95" i="35"/>
  <c r="AE95" i="35"/>
  <c r="AE91" i="35"/>
  <c r="AC91" i="35"/>
  <c r="Z83" i="35"/>
  <c r="AA83" i="35"/>
  <c r="AE101" i="35"/>
  <c r="AC101" i="35"/>
  <c r="Y90" i="35"/>
  <c r="R90" i="35"/>
  <c r="S90" i="35" s="1"/>
  <c r="T90" i="35"/>
  <c r="AD80" i="35"/>
  <c r="AB80" i="35"/>
  <c r="Z85" i="35"/>
  <c r="AA85" i="35"/>
  <c r="AC82" i="35"/>
  <c r="AE82" i="35"/>
  <c r="Z98" i="35"/>
  <c r="AA98" i="35"/>
  <c r="AD93" i="35"/>
  <c r="AB93" i="35"/>
  <c r="AB95" i="35"/>
  <c r="AD95" i="35"/>
  <c r="AC86" i="35"/>
  <c r="AE86" i="35"/>
  <c r="AC83" i="35"/>
  <c r="AE83" i="35"/>
  <c r="AE88" i="35"/>
  <c r="AC88" i="35"/>
  <c r="W99" i="35"/>
  <c r="S99" i="35"/>
  <c r="V99" i="35"/>
  <c r="X99" i="35" s="1"/>
  <c r="Z81" i="35"/>
  <c r="AA81" i="35"/>
  <c r="AB104" i="35"/>
  <c r="AD104" i="35"/>
  <c r="AE102" i="35"/>
  <c r="AC102" i="35"/>
  <c r="Z102" i="35"/>
  <c r="AA102" i="35"/>
  <c r="AC93" i="35"/>
  <c r="AE93" i="35"/>
  <c r="AA80" i="35"/>
  <c r="Z80" i="35"/>
  <c r="AB87" i="35"/>
  <c r="AD87" i="35"/>
  <c r="AD85" i="35"/>
  <c r="AB85" i="35"/>
  <c r="AC99" i="35"/>
  <c r="AE99" i="35"/>
  <c r="R89" i="35"/>
  <c r="S89" i="35" s="1"/>
  <c r="Y89" i="35"/>
  <c r="T89" i="35"/>
  <c r="AD81" i="35"/>
  <c r="AB81" i="35"/>
  <c r="AB88" i="35"/>
  <c r="AD88" i="35"/>
  <c r="AA100" i="35"/>
  <c r="Z100" i="35"/>
  <c r="Z97" i="35"/>
  <c r="AA97" i="35"/>
  <c r="AB83" i="35"/>
  <c r="AD83" i="35"/>
  <c r="Y103" i="35"/>
  <c r="R103" i="35"/>
  <c r="S103" i="35" s="1"/>
  <c r="T103" i="35"/>
  <c r="Z87" i="35"/>
  <c r="AA87" i="35"/>
  <c r="AA86" i="35"/>
  <c r="Z86" i="35"/>
  <c r="AB98" i="35"/>
  <c r="AD98" i="35"/>
  <c r="AA77" i="35"/>
  <c r="Z77" i="35"/>
  <c r="V65" i="35"/>
  <c r="X65" i="35" s="1"/>
  <c r="W65" i="35"/>
  <c r="V49" i="35"/>
  <c r="X49" i="35" s="1"/>
  <c r="W49" i="35"/>
  <c r="S34" i="35"/>
  <c r="W34" i="35"/>
  <c r="V34" i="35"/>
  <c r="X34" i="35" s="1"/>
  <c r="V50" i="35"/>
  <c r="X50" i="35" s="1"/>
  <c r="W50" i="35"/>
  <c r="AB45" i="35"/>
  <c r="AD45" i="35"/>
  <c r="Y31" i="35"/>
  <c r="R31" i="35"/>
  <c r="W27" i="35"/>
  <c r="V27" i="35"/>
  <c r="X27" i="35" s="1"/>
  <c r="Y23" i="35"/>
  <c r="R23" i="35"/>
  <c r="Y21" i="35"/>
  <c r="R21" i="35"/>
  <c r="W19" i="35"/>
  <c r="V19" i="35"/>
  <c r="X19" i="35" s="1"/>
  <c r="Y15" i="35"/>
  <c r="R15" i="35"/>
  <c r="R5" i="35"/>
  <c r="Y5" i="35"/>
  <c r="AC76" i="35"/>
  <c r="AE76" i="35"/>
  <c r="Y73" i="35"/>
  <c r="R73" i="35"/>
  <c r="Y60" i="35"/>
  <c r="R60" i="35"/>
  <c r="V8" i="35"/>
  <c r="X8" i="35" s="1"/>
  <c r="W8" i="35"/>
  <c r="AB75" i="35"/>
  <c r="AD75" i="35"/>
  <c r="AD74" i="35"/>
  <c r="AB74" i="35"/>
  <c r="Y70" i="35"/>
  <c r="R70" i="35"/>
  <c r="V63" i="35"/>
  <c r="X63" i="35" s="1"/>
  <c r="W63" i="35"/>
  <c r="V47" i="35"/>
  <c r="X47" i="35" s="1"/>
  <c r="W47" i="35"/>
  <c r="Y56" i="35"/>
  <c r="R56" i="35"/>
  <c r="AB43" i="35"/>
  <c r="AD43" i="35"/>
  <c r="V11" i="35"/>
  <c r="X11" i="35" s="1"/>
  <c r="W11" i="35"/>
  <c r="Y69" i="35"/>
  <c r="R69" i="35"/>
  <c r="V33" i="35"/>
  <c r="X33" i="35" s="1"/>
  <c r="W33" i="35"/>
  <c r="R53" i="35"/>
  <c r="Y53" i="35"/>
  <c r="Y62" i="35"/>
  <c r="R62" i="35"/>
  <c r="AE42" i="35"/>
  <c r="AC42" i="35"/>
  <c r="Y30" i="35"/>
  <c r="R30" i="35"/>
  <c r="W26" i="35"/>
  <c r="V26" i="35"/>
  <c r="X26" i="35" s="1"/>
  <c r="Y22" i="35"/>
  <c r="R22" i="35"/>
  <c r="Y20" i="35"/>
  <c r="R20" i="35"/>
  <c r="S20" i="35" s="1"/>
  <c r="T20" i="35"/>
  <c r="W18" i="35"/>
  <c r="V18" i="35"/>
  <c r="X18" i="35" s="1"/>
  <c r="Y14" i="35"/>
  <c r="R14" i="35"/>
  <c r="Y10" i="35"/>
  <c r="R10" i="35"/>
  <c r="Y71" i="35"/>
  <c r="R71" i="35"/>
  <c r="T34" i="35"/>
  <c r="AE44" i="35"/>
  <c r="AC44" i="35"/>
  <c r="AD78" i="35"/>
  <c r="AB78" i="35"/>
  <c r="V57" i="35"/>
  <c r="X57" i="35" s="1"/>
  <c r="W57" i="35"/>
  <c r="V58" i="35"/>
  <c r="X58" i="35" s="1"/>
  <c r="W58" i="35"/>
  <c r="AD38" i="35"/>
  <c r="AB38" i="35"/>
  <c r="AC36" i="35"/>
  <c r="AE36" i="35"/>
  <c r="AB37" i="35"/>
  <c r="AD37" i="35"/>
  <c r="W29" i="35"/>
  <c r="V29" i="35"/>
  <c r="X29" i="35" s="1"/>
  <c r="Y25" i="35"/>
  <c r="R25" i="35"/>
  <c r="Q21" i="35"/>
  <c r="T21" i="35" s="1"/>
  <c r="W13" i="35"/>
  <c r="V13" i="35"/>
  <c r="X13" i="35" s="1"/>
  <c r="V6" i="35"/>
  <c r="X6" i="35" s="1"/>
  <c r="W6" i="35"/>
  <c r="W67" i="35"/>
  <c r="V67" i="35"/>
  <c r="X67" i="35" s="1"/>
  <c r="AB39" i="35"/>
  <c r="AD39" i="35"/>
  <c r="AA75" i="35"/>
  <c r="Z75" i="35"/>
  <c r="Y64" i="35"/>
  <c r="R64" i="35"/>
  <c r="Y72" i="35"/>
  <c r="R72" i="35"/>
  <c r="W68" i="35"/>
  <c r="V68" i="35"/>
  <c r="X68" i="35" s="1"/>
  <c r="V55" i="35"/>
  <c r="X55" i="35" s="1"/>
  <c r="W55" i="35"/>
  <c r="V40" i="35"/>
  <c r="X40" i="35" s="1"/>
  <c r="S40" i="35"/>
  <c r="W40" i="35"/>
  <c r="V48" i="35"/>
  <c r="X48" i="35" s="1"/>
  <c r="W48" i="35"/>
  <c r="AC38" i="35"/>
  <c r="AE38" i="35"/>
  <c r="AB35" i="35"/>
  <c r="AD35" i="35"/>
  <c r="Y12" i="35"/>
  <c r="R12" i="35"/>
  <c r="R51" i="35"/>
  <c r="Y51" i="35"/>
  <c r="R61" i="35"/>
  <c r="Y61" i="35"/>
  <c r="AC46" i="35"/>
  <c r="AE46" i="35"/>
  <c r="V54" i="35"/>
  <c r="X54" i="35" s="1"/>
  <c r="W54" i="35"/>
  <c r="AC40" i="35"/>
  <c r="AE40" i="35"/>
  <c r="R32" i="35"/>
  <c r="Y32" i="35"/>
  <c r="W28" i="35"/>
  <c r="V28" i="35"/>
  <c r="X28" i="35" s="1"/>
  <c r="Y24" i="35"/>
  <c r="R24" i="35"/>
  <c r="W20" i="35"/>
  <c r="V20" i="35"/>
  <c r="X20" i="35" s="1"/>
  <c r="Y16" i="35"/>
  <c r="R16" i="35"/>
  <c r="R9" i="35"/>
  <c r="Y9" i="35"/>
  <c r="AB79" i="35"/>
  <c r="AD79" i="35"/>
  <c r="R59" i="35"/>
  <c r="Y59" i="35"/>
  <c r="V52" i="35"/>
  <c r="X52" i="35" s="1"/>
  <c r="W52" i="35"/>
  <c r="V44" i="35"/>
  <c r="X44" i="35" s="1"/>
  <c r="S44" i="35"/>
  <c r="W44" i="35"/>
  <c r="R7" i="35"/>
  <c r="Y7" i="35"/>
  <c r="Z76" i="35"/>
  <c r="AA76" i="35"/>
  <c r="AE78" i="35"/>
  <c r="AC78" i="35"/>
  <c r="R49" i="35"/>
  <c r="S49" i="35" s="1"/>
  <c r="T49" i="35"/>
  <c r="Y49" i="35"/>
  <c r="T50" i="35"/>
  <c r="Y50" i="35"/>
  <c r="R50" i="35"/>
  <c r="S50" i="35" s="1"/>
  <c r="Z45" i="35"/>
  <c r="AA45" i="35"/>
  <c r="AA37" i="35"/>
  <c r="Z37" i="35"/>
  <c r="Q31" i="35"/>
  <c r="Y27" i="35"/>
  <c r="R27" i="35"/>
  <c r="S27" i="35" s="1"/>
  <c r="T27" i="35"/>
  <c r="Q23" i="35"/>
  <c r="Y17" i="35"/>
  <c r="R17" i="35"/>
  <c r="Q15" i="35"/>
  <c r="Q5" i="35"/>
  <c r="W66" i="35"/>
  <c r="V66" i="35"/>
  <c r="X66" i="35" s="1"/>
  <c r="Q73" i="35"/>
  <c r="Q60" i="35"/>
  <c r="T60" i="35" s="1"/>
  <c r="AA39" i="35"/>
  <c r="Z39" i="35"/>
  <c r="T8" i="35"/>
  <c r="Y8" i="35"/>
  <c r="R8" i="35"/>
  <c r="S8" i="35" s="1"/>
  <c r="Z74" i="35"/>
  <c r="AA74" i="35"/>
  <c r="Q70" i="35"/>
  <c r="T70" i="35" s="1"/>
  <c r="R47" i="35"/>
  <c r="S47" i="35" s="1"/>
  <c r="T47" i="35"/>
  <c r="Y47" i="35"/>
  <c r="Q56" i="35"/>
  <c r="T56" i="35" s="1"/>
  <c r="AA35" i="35"/>
  <c r="Z35" i="35"/>
  <c r="R11" i="35"/>
  <c r="S11" i="35" s="1"/>
  <c r="T11" i="35"/>
  <c r="Y11" i="35"/>
  <c r="Q69" i="35"/>
  <c r="T69" i="35" s="1"/>
  <c r="V42" i="35"/>
  <c r="X42" i="35" s="1"/>
  <c r="S42" i="35"/>
  <c r="W42" i="35"/>
  <c r="Q53" i="35"/>
  <c r="V46" i="35"/>
  <c r="X46" i="35" s="1"/>
  <c r="W46" i="35"/>
  <c r="S46" i="35"/>
  <c r="Q62" i="35"/>
  <c r="AB41" i="35"/>
  <c r="AD41" i="35"/>
  <c r="Q30" i="35"/>
  <c r="Y26" i="35"/>
  <c r="R26" i="35"/>
  <c r="S26" i="35" s="1"/>
  <c r="T26" i="35"/>
  <c r="Q22" i="35"/>
  <c r="T22" i="35" s="1"/>
  <c r="Q14" i="35"/>
  <c r="Q10" i="35"/>
  <c r="AA79" i="35"/>
  <c r="Z79" i="35"/>
  <c r="Q71" i="35"/>
  <c r="T44" i="35"/>
  <c r="AD36" i="35"/>
  <c r="AB36" i="35"/>
  <c r="Z78" i="35"/>
  <c r="AA78" i="35"/>
  <c r="AB77" i="35"/>
  <c r="AD77" i="35"/>
  <c r="R65" i="35"/>
  <c r="S65" i="35" s="1"/>
  <c r="Y65" i="35"/>
  <c r="T65" i="35"/>
  <c r="R57" i="35"/>
  <c r="S57" i="35" s="1"/>
  <c r="T57" i="35"/>
  <c r="Y57" i="35"/>
  <c r="T58" i="35"/>
  <c r="Y58" i="35"/>
  <c r="R58" i="35"/>
  <c r="S58" i="35" s="1"/>
  <c r="Z38" i="35"/>
  <c r="AA38" i="35"/>
  <c r="Y29" i="35"/>
  <c r="R29" i="35"/>
  <c r="S29" i="35" s="1"/>
  <c r="T29" i="35"/>
  <c r="Q25" i="35"/>
  <c r="T25" i="35" s="1"/>
  <c r="Y19" i="35"/>
  <c r="R19" i="35"/>
  <c r="S19" i="35" s="1"/>
  <c r="T19" i="35"/>
  <c r="Q17" i="35"/>
  <c r="T17" i="35" s="1"/>
  <c r="Y13" i="35"/>
  <c r="R13" i="35"/>
  <c r="S13" i="35" s="1"/>
  <c r="T13" i="35"/>
  <c r="T6" i="35"/>
  <c r="Y6" i="35"/>
  <c r="R6" i="35"/>
  <c r="S6" i="35" s="1"/>
  <c r="T66" i="35"/>
  <c r="Y66" i="35"/>
  <c r="R66" i="35"/>
  <c r="S66" i="35" s="1"/>
  <c r="Y67" i="35"/>
  <c r="R67" i="35"/>
  <c r="S67" i="35" s="1"/>
  <c r="T67" i="35"/>
  <c r="Q64" i="35"/>
  <c r="T64" i="35" s="1"/>
  <c r="Q72" i="35"/>
  <c r="T72" i="35" s="1"/>
  <c r="Y68" i="35"/>
  <c r="R68" i="35"/>
  <c r="S68" i="35" s="1"/>
  <c r="T68" i="35"/>
  <c r="R63" i="35"/>
  <c r="S63" i="35" s="1"/>
  <c r="Y63" i="35"/>
  <c r="T63" i="35"/>
  <c r="R55" i="35"/>
  <c r="S55" i="35" s="1"/>
  <c r="T55" i="35"/>
  <c r="Y55" i="35"/>
  <c r="T48" i="35"/>
  <c r="Y48" i="35"/>
  <c r="R48" i="35"/>
  <c r="S48" i="35" s="1"/>
  <c r="Z43" i="35"/>
  <c r="AA43" i="35"/>
  <c r="Q12" i="35"/>
  <c r="Q51" i="35"/>
  <c r="Y33" i="35"/>
  <c r="R33" i="35"/>
  <c r="S33" i="35" s="1"/>
  <c r="T33" i="35"/>
  <c r="Q61" i="35"/>
  <c r="T61" i="35" s="1"/>
  <c r="T46" i="35"/>
  <c r="T54" i="35"/>
  <c r="Y54" i="35"/>
  <c r="R54" i="35"/>
  <c r="S54" i="35" s="1"/>
  <c r="T40" i="35"/>
  <c r="AA41" i="35"/>
  <c r="Z41" i="35"/>
  <c r="Q32" i="35"/>
  <c r="Y28" i="35"/>
  <c r="R28" i="35"/>
  <c r="S28" i="35" s="1"/>
  <c r="T28" i="35"/>
  <c r="Q24" i="35"/>
  <c r="Y18" i="35"/>
  <c r="R18" i="35"/>
  <c r="S18" i="35" s="1"/>
  <c r="T18" i="35"/>
  <c r="Q16" i="35"/>
  <c r="Q9" i="35"/>
  <c r="Q59" i="35"/>
  <c r="T59" i="35" s="1"/>
  <c r="AE34" i="35"/>
  <c r="AC34" i="35"/>
  <c r="T52" i="35"/>
  <c r="Y52" i="35"/>
  <c r="R52" i="35"/>
  <c r="S52" i="35" s="1"/>
  <c r="Q7" i="35"/>
  <c r="AD76" i="35"/>
  <c r="AB76" i="35"/>
  <c r="AA4" i="35"/>
  <c r="Z4" i="35"/>
  <c r="AB3" i="35"/>
  <c r="AD3" i="35"/>
  <c r="AE4" i="35"/>
  <c r="AC4" i="35"/>
  <c r="AC3" i="35"/>
  <c r="AE3" i="35"/>
  <c r="AD4" i="35"/>
  <c r="AB4" i="35"/>
  <c r="AA3" i="35"/>
  <c r="Z3" i="35"/>
  <c r="S28" i="34"/>
  <c r="AC28" i="34"/>
  <c r="AE28" i="34"/>
  <c r="T28" i="34"/>
  <c r="AE37" i="34"/>
  <c r="AC37" i="34"/>
  <c r="Z39" i="34"/>
  <c r="AA39" i="34"/>
  <c r="AE45" i="34"/>
  <c r="AC45" i="34"/>
  <c r="Z40" i="34"/>
  <c r="AA40" i="34"/>
  <c r="Z38" i="34"/>
  <c r="AA38" i="34"/>
  <c r="AB37" i="34"/>
  <c r="AD37" i="34"/>
  <c r="AD42" i="34"/>
  <c r="AB42" i="34"/>
  <c r="AA45" i="34"/>
  <c r="Z45" i="34"/>
  <c r="Z42" i="34"/>
  <c r="AA42" i="34"/>
  <c r="Z44" i="34"/>
  <c r="AA44" i="34"/>
  <c r="AE42" i="34"/>
  <c r="AC42" i="34"/>
  <c r="AD43" i="34"/>
  <c r="AB43" i="34"/>
  <c r="AB41" i="34"/>
  <c r="AD41" i="34"/>
  <c r="AA37" i="34"/>
  <c r="Z37" i="34"/>
  <c r="AB44" i="34"/>
  <c r="AD44" i="34"/>
  <c r="Z43" i="34"/>
  <c r="AA43" i="34"/>
  <c r="AD39" i="34"/>
  <c r="AB39" i="34"/>
  <c r="AE41" i="34"/>
  <c r="AC41" i="34"/>
  <c r="AB40" i="34"/>
  <c r="AD40" i="34"/>
  <c r="AD38" i="34"/>
  <c r="AB38" i="34"/>
  <c r="AB45" i="34"/>
  <c r="AD45" i="34"/>
  <c r="AA41" i="34"/>
  <c r="Z41" i="34"/>
  <c r="AE36" i="34"/>
  <c r="AC36" i="34"/>
  <c r="AD36" i="34"/>
  <c r="AB36" i="34"/>
  <c r="AA36" i="34"/>
  <c r="Z36" i="34"/>
  <c r="AC31" i="34"/>
  <c r="AE31" i="34"/>
  <c r="V30" i="34"/>
  <c r="X30" i="34" s="1"/>
  <c r="W30" i="34"/>
  <c r="V22" i="34"/>
  <c r="X22" i="34" s="1"/>
  <c r="W22" i="34"/>
  <c r="AB27" i="34"/>
  <c r="AD27" i="34"/>
  <c r="Y30" i="34"/>
  <c r="R30" i="34"/>
  <c r="S30" i="34" s="1"/>
  <c r="T30" i="34"/>
  <c r="AB24" i="34"/>
  <c r="AD24" i="34"/>
  <c r="AC34" i="34"/>
  <c r="AE34" i="34"/>
  <c r="V25" i="34"/>
  <c r="X25" i="34" s="1"/>
  <c r="S25" i="34"/>
  <c r="W25" i="34"/>
  <c r="AE24" i="34"/>
  <c r="AC24" i="34"/>
  <c r="AC23" i="34"/>
  <c r="AE23" i="34"/>
  <c r="AB32" i="34"/>
  <c r="AD32" i="34"/>
  <c r="T25" i="34"/>
  <c r="Z34" i="34"/>
  <c r="AA34" i="34"/>
  <c r="AB31" i="34"/>
  <c r="AD31" i="34"/>
  <c r="AB20" i="34"/>
  <c r="AD20" i="34"/>
  <c r="V26" i="34"/>
  <c r="X26" i="34" s="1"/>
  <c r="W26" i="34"/>
  <c r="Z27" i="34"/>
  <c r="AA27" i="34"/>
  <c r="AA23" i="34"/>
  <c r="Z23" i="34"/>
  <c r="AA24" i="34"/>
  <c r="Z24" i="34"/>
  <c r="AB35" i="34"/>
  <c r="AD35" i="34"/>
  <c r="AA28" i="34"/>
  <c r="Z28" i="34"/>
  <c r="Z31" i="34"/>
  <c r="AA31" i="34"/>
  <c r="AE33" i="34"/>
  <c r="AC33" i="34"/>
  <c r="AB23" i="34"/>
  <c r="AD23" i="34"/>
  <c r="Z35" i="34"/>
  <c r="AA35" i="34"/>
  <c r="AC27" i="34"/>
  <c r="AE27" i="34"/>
  <c r="Y22" i="34"/>
  <c r="R22" i="34"/>
  <c r="S22" i="34" s="1"/>
  <c r="T22" i="34"/>
  <c r="AD33" i="34"/>
  <c r="AB33" i="34"/>
  <c r="AE32" i="34"/>
  <c r="AC32" i="34"/>
  <c r="AB28" i="34"/>
  <c r="AD28" i="34"/>
  <c r="AA32" i="34"/>
  <c r="Z32" i="34"/>
  <c r="AE25" i="34"/>
  <c r="AC25" i="34"/>
  <c r="AB34" i="34"/>
  <c r="AD34" i="34"/>
  <c r="AA20" i="34"/>
  <c r="Z20" i="34"/>
  <c r="Y26" i="34"/>
  <c r="R26" i="34"/>
  <c r="S26" i="34" s="1"/>
  <c r="T26" i="34"/>
  <c r="Z33" i="34"/>
  <c r="AA33" i="34"/>
  <c r="R17" i="34"/>
  <c r="Y17" i="34"/>
  <c r="V18" i="34"/>
  <c r="X18" i="34" s="1"/>
  <c r="W18" i="34"/>
  <c r="Y16" i="34"/>
  <c r="R16" i="34"/>
  <c r="V15" i="34"/>
  <c r="X15" i="34" s="1"/>
  <c r="W15" i="34"/>
  <c r="R19" i="34"/>
  <c r="Y19" i="34"/>
  <c r="Q17" i="34"/>
  <c r="T18" i="34"/>
  <c r="Y18" i="34"/>
  <c r="R18" i="34"/>
  <c r="S18" i="34" s="1"/>
  <c r="Q16" i="34"/>
  <c r="T16" i="34" s="1"/>
  <c r="R15" i="34"/>
  <c r="S15" i="34" s="1"/>
  <c r="T15" i="34"/>
  <c r="Y15" i="34"/>
  <c r="Q19" i="34"/>
  <c r="Y14" i="34"/>
  <c r="R14" i="34"/>
  <c r="V9" i="34"/>
  <c r="X9" i="34" s="1"/>
  <c r="W9" i="34"/>
  <c r="R7" i="34"/>
  <c r="Y7" i="34"/>
  <c r="V13" i="34"/>
  <c r="X13" i="34" s="1"/>
  <c r="W13" i="34"/>
  <c r="Y8" i="34"/>
  <c r="R8" i="34"/>
  <c r="R11" i="34"/>
  <c r="Y11" i="34"/>
  <c r="V6" i="34"/>
  <c r="X6" i="34" s="1"/>
  <c r="W6" i="34"/>
  <c r="Y12" i="34"/>
  <c r="R12" i="34"/>
  <c r="V10" i="34"/>
  <c r="X10" i="34" s="1"/>
  <c r="W10" i="34"/>
  <c r="R5" i="34"/>
  <c r="Y5" i="34"/>
  <c r="Q14" i="34"/>
  <c r="R9" i="34"/>
  <c r="S9" i="34" s="1"/>
  <c r="T9" i="34"/>
  <c r="Y9" i="34"/>
  <c r="Q7" i="34"/>
  <c r="T7" i="34" s="1"/>
  <c r="R13" i="34"/>
  <c r="S13" i="34" s="1"/>
  <c r="T13" i="34"/>
  <c r="Y13" i="34"/>
  <c r="Q8" i="34"/>
  <c r="Q11" i="34"/>
  <c r="T6" i="34"/>
  <c r="Y6" i="34"/>
  <c r="R6" i="34"/>
  <c r="S6" i="34" s="1"/>
  <c r="Q12" i="34"/>
  <c r="T10" i="34"/>
  <c r="Y10" i="34"/>
  <c r="R10" i="34"/>
  <c r="S10" i="34" s="1"/>
  <c r="Q5" i="34"/>
  <c r="AA4" i="34"/>
  <c r="Z4" i="34"/>
  <c r="AD4" i="34"/>
  <c r="AB4" i="34"/>
  <c r="AE4" i="34"/>
  <c r="AC4" i="34"/>
  <c r="W3" i="34"/>
  <c r="S3" i="34"/>
  <c r="V3" i="34"/>
  <c r="X3" i="34" s="1"/>
  <c r="AC3" i="34"/>
  <c r="AE3" i="34"/>
  <c r="V25" i="33"/>
  <c r="X25" i="33" s="1"/>
  <c r="W25" i="33"/>
  <c r="AD24" i="33"/>
  <c r="AB24" i="33"/>
  <c r="V27" i="33"/>
  <c r="X27" i="33" s="1"/>
  <c r="W27" i="33"/>
  <c r="T25" i="33"/>
  <c r="R25" i="33"/>
  <c r="S25" i="33" s="1"/>
  <c r="Y25" i="33"/>
  <c r="Z24" i="33"/>
  <c r="AA24" i="33"/>
  <c r="Z26" i="33"/>
  <c r="AA26" i="33"/>
  <c r="AD26" i="33"/>
  <c r="AB26" i="33"/>
  <c r="AE26" i="33"/>
  <c r="AC26" i="33"/>
  <c r="Z22" i="33"/>
  <c r="AA22" i="33"/>
  <c r="AC24" i="33"/>
  <c r="AE24" i="33"/>
  <c r="Y23" i="33"/>
  <c r="R23" i="33"/>
  <c r="AC22" i="33"/>
  <c r="AE22" i="33"/>
  <c r="AD22" i="33"/>
  <c r="AB22" i="33"/>
  <c r="Q23" i="33"/>
  <c r="T23" i="33" s="1"/>
  <c r="T27" i="33"/>
  <c r="R27" i="33"/>
  <c r="S27" i="33" s="1"/>
  <c r="Y27" i="33"/>
  <c r="W18" i="33"/>
  <c r="V18" i="33"/>
  <c r="X18" i="33" s="1"/>
  <c r="Y14" i="33"/>
  <c r="R14" i="33"/>
  <c r="R9" i="33"/>
  <c r="Y9" i="33"/>
  <c r="AB21" i="33"/>
  <c r="AD21" i="33"/>
  <c r="AA19" i="33"/>
  <c r="Z19" i="33"/>
  <c r="Y8" i="33"/>
  <c r="R8" i="33"/>
  <c r="Y13" i="33"/>
  <c r="T13" i="33"/>
  <c r="R13" i="33"/>
  <c r="S13" i="33" s="1"/>
  <c r="V6" i="33"/>
  <c r="X6" i="33" s="1"/>
  <c r="W6" i="33"/>
  <c r="Y12" i="33"/>
  <c r="R12" i="33"/>
  <c r="V10" i="33"/>
  <c r="X10" i="33" s="1"/>
  <c r="W10" i="33"/>
  <c r="AA21" i="33"/>
  <c r="Z21" i="33"/>
  <c r="Y15" i="33"/>
  <c r="R15" i="33"/>
  <c r="W13" i="33"/>
  <c r="V13" i="33"/>
  <c r="X13" i="33" s="1"/>
  <c r="V5" i="33"/>
  <c r="X5" i="33" s="1"/>
  <c r="W5" i="33"/>
  <c r="R11" i="33"/>
  <c r="Y11" i="33"/>
  <c r="V7" i="33"/>
  <c r="X7" i="33" s="1"/>
  <c r="W7" i="33"/>
  <c r="V20" i="33"/>
  <c r="X20" i="33" s="1"/>
  <c r="W20" i="33"/>
  <c r="Y16" i="33"/>
  <c r="T16" i="33"/>
  <c r="R16" i="33"/>
  <c r="S16" i="33" s="1"/>
  <c r="Q14" i="33"/>
  <c r="Q9" i="33"/>
  <c r="T9" i="33" s="1"/>
  <c r="Q8" i="33"/>
  <c r="Y17" i="33"/>
  <c r="R17" i="33"/>
  <c r="Q15" i="33"/>
  <c r="T15" i="33" s="1"/>
  <c r="T6" i="33"/>
  <c r="Y6" i="33"/>
  <c r="R6" i="33"/>
  <c r="S6" i="33" s="1"/>
  <c r="AE21" i="33"/>
  <c r="AC21" i="33"/>
  <c r="Y18" i="33"/>
  <c r="T18" i="33"/>
  <c r="R18" i="33"/>
  <c r="S18" i="33" s="1"/>
  <c r="W16" i="33"/>
  <c r="V16" i="33"/>
  <c r="X16" i="33" s="1"/>
  <c r="Y20" i="33"/>
  <c r="T20" i="33"/>
  <c r="R20" i="33"/>
  <c r="S20" i="33" s="1"/>
  <c r="T10" i="33"/>
  <c r="Y10" i="33"/>
  <c r="R10" i="33"/>
  <c r="S10" i="33" s="1"/>
  <c r="AD19" i="33"/>
  <c r="AB19" i="33"/>
  <c r="Q17" i="33"/>
  <c r="T17" i="33" s="1"/>
  <c r="AE19" i="33"/>
  <c r="AC19" i="33"/>
  <c r="R5" i="33"/>
  <c r="S5" i="33" s="1"/>
  <c r="T5" i="33"/>
  <c r="Y5" i="33"/>
  <c r="Q11" i="33"/>
  <c r="Q12" i="33"/>
  <c r="R7" i="33"/>
  <c r="S7" i="33" s="1"/>
  <c r="T7" i="33"/>
  <c r="Y7" i="33"/>
  <c r="AD4" i="33"/>
  <c r="AB4" i="33"/>
  <c r="AA4" i="33"/>
  <c r="Z4" i="33"/>
  <c r="V3" i="33"/>
  <c r="X3" i="33" s="1"/>
  <c r="W3" i="33"/>
  <c r="S3" i="33"/>
  <c r="AC3" i="33"/>
  <c r="AE3" i="33"/>
  <c r="AD19" i="32"/>
  <c r="AB27" i="32"/>
  <c r="AB29" i="32"/>
  <c r="AD41" i="32"/>
  <c r="Y30" i="32"/>
  <c r="R30" i="32"/>
  <c r="S30" i="32" s="1"/>
  <c r="T30" i="32"/>
  <c r="AE7" i="32"/>
  <c r="AC7" i="32"/>
  <c r="T35" i="32"/>
  <c r="R35" i="32"/>
  <c r="S35" i="32" s="1"/>
  <c r="Y35" i="32"/>
  <c r="AE23" i="32"/>
  <c r="AC23" i="32"/>
  <c r="AE14" i="32"/>
  <c r="AC14" i="32"/>
  <c r="AE40" i="32"/>
  <c r="AC40" i="32"/>
  <c r="AD33" i="32"/>
  <c r="AB33" i="32"/>
  <c r="AE36" i="32"/>
  <c r="AC36" i="32"/>
  <c r="T43" i="32"/>
  <c r="Y43" i="32"/>
  <c r="R43" i="32"/>
  <c r="S43" i="32" s="1"/>
  <c r="Y8" i="32"/>
  <c r="R8" i="32"/>
  <c r="S8" i="32" s="1"/>
  <c r="T8" i="32"/>
  <c r="Y26" i="32"/>
  <c r="R26" i="32"/>
  <c r="S26" i="32" s="1"/>
  <c r="T26" i="32"/>
  <c r="AC31" i="32"/>
  <c r="AE31" i="32"/>
  <c r="R24" i="32"/>
  <c r="S24" i="32" s="1"/>
  <c r="T24" i="32"/>
  <c r="Y24" i="32"/>
  <c r="T9" i="32"/>
  <c r="Y9" i="32"/>
  <c r="R9" i="32"/>
  <c r="S9" i="32" s="1"/>
  <c r="AE22" i="32"/>
  <c r="AC22" i="32"/>
  <c r="AE10" i="32"/>
  <c r="AC10" i="32"/>
  <c r="T13" i="32"/>
  <c r="Y13" i="32"/>
  <c r="R13" i="32"/>
  <c r="S13" i="32" s="1"/>
  <c r="AE28" i="32"/>
  <c r="AC28" i="32"/>
  <c r="AE29" i="32"/>
  <c r="AC29" i="32"/>
  <c r="Y16" i="32"/>
  <c r="R16" i="32"/>
  <c r="S16" i="32" s="1"/>
  <c r="T16" i="32"/>
  <c r="Y12" i="32"/>
  <c r="R12" i="32"/>
  <c r="S12" i="32" s="1"/>
  <c r="T12" i="32"/>
  <c r="T39" i="32"/>
  <c r="Y39" i="32"/>
  <c r="R39" i="32"/>
  <c r="S39" i="32" s="1"/>
  <c r="AC42" i="32"/>
  <c r="AE42" i="32"/>
  <c r="AE18" i="32"/>
  <c r="AC18" i="32"/>
  <c r="AC27" i="32"/>
  <c r="AE27" i="32"/>
  <c r="T21" i="32"/>
  <c r="Y21" i="32"/>
  <c r="R21" i="32"/>
  <c r="S21" i="32" s="1"/>
  <c r="AC41" i="32"/>
  <c r="AE41" i="32"/>
  <c r="T17" i="32"/>
  <c r="Y17" i="32"/>
  <c r="R17" i="32"/>
  <c r="S17" i="32" s="1"/>
  <c r="AC38" i="32"/>
  <c r="AE38" i="32"/>
  <c r="AC37" i="32"/>
  <c r="AE37" i="32"/>
  <c r="Y20" i="32"/>
  <c r="R20" i="32"/>
  <c r="S20" i="32" s="1"/>
  <c r="T20" i="32"/>
  <c r="AC4" i="32"/>
  <c r="AE4" i="32"/>
  <c r="AD3" i="32"/>
  <c r="AB3" i="32"/>
  <c r="AE5" i="32"/>
  <c r="AC5" i="32"/>
  <c r="AE3" i="32"/>
  <c r="AC3" i="32"/>
  <c r="AA36" i="35" l="1"/>
  <c r="AE6" i="32"/>
  <c r="AC6" i="32"/>
  <c r="W5" i="32"/>
  <c r="V5" i="32"/>
  <c r="X5" i="32" s="1"/>
  <c r="T5" i="32"/>
  <c r="AB6" i="32"/>
  <c r="AD6" i="32"/>
  <c r="AA8" i="32"/>
  <c r="X8" i="32"/>
  <c r="AA12" i="32"/>
  <c r="X12" i="32"/>
  <c r="AA24" i="32"/>
  <c r="X24" i="32"/>
  <c r="AA21" i="32"/>
  <c r="X21" i="32"/>
  <c r="AA35" i="32"/>
  <c r="X35" i="32"/>
  <c r="AA13" i="32"/>
  <c r="X13" i="32"/>
  <c r="AA39" i="32"/>
  <c r="X39" i="32"/>
  <c r="AA3" i="32"/>
  <c r="Z3" i="32"/>
  <c r="AA22" i="32"/>
  <c r="Z22" i="32"/>
  <c r="AB18" i="32"/>
  <c r="AD18" i="32"/>
  <c r="AB22" i="32"/>
  <c r="AD22" i="32"/>
  <c r="AA37" i="32"/>
  <c r="X37" i="32"/>
  <c r="AA20" i="32"/>
  <c r="X20" i="32"/>
  <c r="AA16" i="32"/>
  <c r="X16" i="32"/>
  <c r="AA26" i="32"/>
  <c r="X26" i="32"/>
  <c r="AA30" i="32"/>
  <c r="X30" i="32"/>
  <c r="AA17" i="32"/>
  <c r="X17" i="32"/>
  <c r="AA9" i="32"/>
  <c r="X9" i="32"/>
  <c r="AA43" i="32"/>
  <c r="X43" i="32"/>
  <c r="AA18" i="32"/>
  <c r="Z18" i="32"/>
  <c r="AA6" i="32"/>
  <c r="Z6" i="32"/>
  <c r="AC90" i="35"/>
  <c r="AE90" i="35"/>
  <c r="AA92" i="35"/>
  <c r="Z92" i="35"/>
  <c r="AB82" i="35"/>
  <c r="AD82" i="35"/>
  <c r="AD94" i="35"/>
  <c r="AB94" i="35"/>
  <c r="AA90" i="35"/>
  <c r="Z90" i="35"/>
  <c r="AC103" i="35"/>
  <c r="AE103" i="35"/>
  <c r="AC89" i="35"/>
  <c r="AE89" i="35"/>
  <c r="AB99" i="35"/>
  <c r="AD99" i="35"/>
  <c r="Z82" i="35"/>
  <c r="AA82" i="35"/>
  <c r="Z89" i="35"/>
  <c r="AA89" i="35"/>
  <c r="Z103" i="35"/>
  <c r="AA103" i="35"/>
  <c r="AD89" i="35"/>
  <c r="AB89" i="35"/>
  <c r="AB90" i="35"/>
  <c r="AD90" i="35"/>
  <c r="AA99" i="35"/>
  <c r="Z99" i="35"/>
  <c r="AC94" i="35"/>
  <c r="AE94" i="35"/>
  <c r="AD92" i="35"/>
  <c r="AB92" i="35"/>
  <c r="Z94" i="35"/>
  <c r="AA94" i="35"/>
  <c r="AD103" i="35"/>
  <c r="AB103" i="35"/>
  <c r="V9" i="35"/>
  <c r="X9" i="35" s="1"/>
  <c r="S9" i="35"/>
  <c r="W9" i="35"/>
  <c r="AC18" i="35"/>
  <c r="AE18" i="35"/>
  <c r="AE28" i="35"/>
  <c r="AC28" i="35"/>
  <c r="AC33" i="35"/>
  <c r="AE33" i="35"/>
  <c r="AE55" i="35"/>
  <c r="AC55" i="35"/>
  <c r="AE63" i="35"/>
  <c r="AC63" i="35"/>
  <c r="AC68" i="35"/>
  <c r="AE68" i="35"/>
  <c r="AE57" i="35"/>
  <c r="AC57" i="35"/>
  <c r="AE65" i="35"/>
  <c r="AC65" i="35"/>
  <c r="V10" i="35"/>
  <c r="X10" i="35" s="1"/>
  <c r="S10" i="35"/>
  <c r="W10" i="35"/>
  <c r="AB46" i="35"/>
  <c r="AD46" i="35"/>
  <c r="AD42" i="35"/>
  <c r="AB42" i="35"/>
  <c r="AE47" i="35"/>
  <c r="AC47" i="35"/>
  <c r="S73" i="35"/>
  <c r="W73" i="35"/>
  <c r="V73" i="35"/>
  <c r="X73" i="35" s="1"/>
  <c r="V5" i="35"/>
  <c r="X5" i="35" s="1"/>
  <c r="S5" i="35"/>
  <c r="W5" i="35"/>
  <c r="AE17" i="35"/>
  <c r="AC17" i="35"/>
  <c r="AC27" i="35"/>
  <c r="AE27" i="35"/>
  <c r="AE7" i="35"/>
  <c r="AC7" i="35"/>
  <c r="AB52" i="35"/>
  <c r="AD52" i="35"/>
  <c r="AD20" i="35"/>
  <c r="AB20" i="35"/>
  <c r="AB54" i="35"/>
  <c r="AD54" i="35"/>
  <c r="Z48" i="35"/>
  <c r="AA48" i="35"/>
  <c r="AD55" i="35"/>
  <c r="AB55" i="35"/>
  <c r="AC64" i="35"/>
  <c r="AE64" i="35"/>
  <c r="AB13" i="35"/>
  <c r="AD13" i="35"/>
  <c r="AA29" i="35"/>
  <c r="Z29" i="35"/>
  <c r="Z58" i="35"/>
  <c r="AA58" i="35"/>
  <c r="AA26" i="35"/>
  <c r="Z26" i="35"/>
  <c r="AE30" i="35"/>
  <c r="AC30" i="35"/>
  <c r="AC62" i="35"/>
  <c r="AE62" i="35"/>
  <c r="AD63" i="35"/>
  <c r="AB63" i="35"/>
  <c r="Z8" i="35"/>
  <c r="AA8" i="35"/>
  <c r="AC60" i="35"/>
  <c r="AE60" i="35"/>
  <c r="AE73" i="35"/>
  <c r="AC73" i="35"/>
  <c r="T5" i="35"/>
  <c r="AE15" i="35"/>
  <c r="AC15" i="35"/>
  <c r="AB50" i="35"/>
  <c r="AD50" i="35"/>
  <c r="Z49" i="35"/>
  <c r="AA49" i="35"/>
  <c r="V7" i="35"/>
  <c r="X7" i="35" s="1"/>
  <c r="S7" i="35"/>
  <c r="W7" i="35"/>
  <c r="S16" i="35"/>
  <c r="W16" i="35"/>
  <c r="V16" i="35"/>
  <c r="X16" i="35" s="1"/>
  <c r="S32" i="35"/>
  <c r="W32" i="35"/>
  <c r="V32" i="35"/>
  <c r="X32" i="35" s="1"/>
  <c r="V61" i="35"/>
  <c r="X61" i="35" s="1"/>
  <c r="S61" i="35"/>
  <c r="W61" i="35"/>
  <c r="V51" i="35"/>
  <c r="X51" i="35" s="1"/>
  <c r="S51" i="35"/>
  <c r="W51" i="35"/>
  <c r="S72" i="35"/>
  <c r="W72" i="35"/>
  <c r="V72" i="35"/>
  <c r="X72" i="35" s="1"/>
  <c r="AE67" i="35"/>
  <c r="AC67" i="35"/>
  <c r="S71" i="35"/>
  <c r="W71" i="35"/>
  <c r="V71" i="35"/>
  <c r="X71" i="35" s="1"/>
  <c r="S14" i="35"/>
  <c r="W14" i="35"/>
  <c r="V14" i="35"/>
  <c r="X14" i="35" s="1"/>
  <c r="AE26" i="35"/>
  <c r="AC26" i="35"/>
  <c r="S62" i="35"/>
  <c r="W62" i="35"/>
  <c r="V62" i="35"/>
  <c r="X62" i="35" s="1"/>
  <c r="V53" i="35"/>
  <c r="X53" i="35" s="1"/>
  <c r="S53" i="35"/>
  <c r="W53" i="35"/>
  <c r="S69" i="35"/>
  <c r="W69" i="35"/>
  <c r="V69" i="35"/>
  <c r="X69" i="35" s="1"/>
  <c r="AB66" i="35"/>
  <c r="AD66" i="35"/>
  <c r="S15" i="35"/>
  <c r="W15" i="35"/>
  <c r="V15" i="35"/>
  <c r="X15" i="35" s="1"/>
  <c r="S23" i="35"/>
  <c r="W23" i="35"/>
  <c r="V23" i="35"/>
  <c r="X23" i="35" s="1"/>
  <c r="S31" i="35"/>
  <c r="W31" i="35"/>
  <c r="V31" i="35"/>
  <c r="X31" i="35" s="1"/>
  <c r="AE49" i="35"/>
  <c r="AC49" i="35"/>
  <c r="T7" i="35"/>
  <c r="AD44" i="35"/>
  <c r="AB44" i="35"/>
  <c r="AE59" i="35"/>
  <c r="AC59" i="35"/>
  <c r="T16" i="35"/>
  <c r="AA20" i="35"/>
  <c r="Z20" i="35"/>
  <c r="AE24" i="35"/>
  <c r="AC24" i="35"/>
  <c r="T32" i="35"/>
  <c r="AD40" i="35"/>
  <c r="AB40" i="35"/>
  <c r="AB68" i="35"/>
  <c r="AD68" i="35"/>
  <c r="Z6" i="35"/>
  <c r="AA6" i="35"/>
  <c r="AA13" i="35"/>
  <c r="Z13" i="35"/>
  <c r="AD57" i="35"/>
  <c r="AB57" i="35"/>
  <c r="T71" i="35"/>
  <c r="AC10" i="35"/>
  <c r="AE10" i="35"/>
  <c r="AC14" i="35"/>
  <c r="AE14" i="35"/>
  <c r="T62" i="35"/>
  <c r="AD11" i="35"/>
  <c r="AB11" i="35"/>
  <c r="AC56" i="35"/>
  <c r="AE56" i="35"/>
  <c r="AD47" i="35"/>
  <c r="AB47" i="35"/>
  <c r="AD19" i="35"/>
  <c r="AB19" i="35"/>
  <c r="AC23" i="35"/>
  <c r="AE23" i="35"/>
  <c r="T31" i="35"/>
  <c r="AD34" i="35"/>
  <c r="AB34" i="35"/>
  <c r="AD65" i="35"/>
  <c r="AB65" i="35"/>
  <c r="S24" i="35"/>
  <c r="W24" i="35"/>
  <c r="V24" i="35"/>
  <c r="X24" i="35" s="1"/>
  <c r="AC54" i="35"/>
  <c r="AE54" i="35"/>
  <c r="V12" i="35"/>
  <c r="X12" i="35" s="1"/>
  <c r="S12" i="35"/>
  <c r="W12" i="35"/>
  <c r="AC48" i="35"/>
  <c r="AE48" i="35"/>
  <c r="S64" i="35"/>
  <c r="W64" i="35"/>
  <c r="V64" i="35"/>
  <c r="X64" i="35" s="1"/>
  <c r="AC6" i="35"/>
  <c r="AE6" i="35"/>
  <c r="AE13" i="35"/>
  <c r="AC13" i="35"/>
  <c r="AE19" i="35"/>
  <c r="AC19" i="35"/>
  <c r="AC29" i="35"/>
  <c r="AE29" i="35"/>
  <c r="AC58" i="35"/>
  <c r="AE58" i="35"/>
  <c r="S22" i="35"/>
  <c r="W22" i="35"/>
  <c r="V22" i="35"/>
  <c r="X22" i="35" s="1"/>
  <c r="S30" i="35"/>
  <c r="W30" i="35"/>
  <c r="V30" i="35"/>
  <c r="X30" i="35" s="1"/>
  <c r="Z42" i="35"/>
  <c r="AA42" i="35"/>
  <c r="AE11" i="35"/>
  <c r="AC11" i="35"/>
  <c r="AA66" i="35"/>
  <c r="Z66" i="35"/>
  <c r="Z52" i="35"/>
  <c r="AA52" i="35"/>
  <c r="AE9" i="35"/>
  <c r="AC9" i="35"/>
  <c r="AD28" i="35"/>
  <c r="AB28" i="35"/>
  <c r="AE32" i="35"/>
  <c r="AC32" i="35"/>
  <c r="Z54" i="35"/>
  <c r="AA54" i="35"/>
  <c r="AE51" i="35"/>
  <c r="AC51" i="35"/>
  <c r="AC12" i="35"/>
  <c r="AE12" i="35"/>
  <c r="AB48" i="35"/>
  <c r="AD48" i="35"/>
  <c r="Z55" i="35"/>
  <c r="AA55" i="35"/>
  <c r="AA68" i="35"/>
  <c r="Z68" i="35"/>
  <c r="AC72" i="35"/>
  <c r="AE72" i="35"/>
  <c r="AB67" i="35"/>
  <c r="AD67" i="35"/>
  <c r="AC25" i="35"/>
  <c r="AE25" i="35"/>
  <c r="AB58" i="35"/>
  <c r="AD58" i="35"/>
  <c r="T10" i="35"/>
  <c r="AD18" i="35"/>
  <c r="AB18" i="35"/>
  <c r="AE22" i="35"/>
  <c r="AC22" i="35"/>
  <c r="T30" i="35"/>
  <c r="AE53" i="35"/>
  <c r="AC53" i="35"/>
  <c r="AA33" i="35"/>
  <c r="Z33" i="35"/>
  <c r="AE69" i="35"/>
  <c r="AC69" i="35"/>
  <c r="Z63" i="35"/>
  <c r="AA63" i="35"/>
  <c r="AB8" i="35"/>
  <c r="AD8" i="35"/>
  <c r="T73" i="35"/>
  <c r="T15" i="35"/>
  <c r="AA19" i="35"/>
  <c r="Z19" i="35"/>
  <c r="AE21" i="35"/>
  <c r="AC21" i="35"/>
  <c r="AD27" i="35"/>
  <c r="AB27" i="35"/>
  <c r="Z50" i="35"/>
  <c r="AA50" i="35"/>
  <c r="AA34" i="35"/>
  <c r="Z34" i="35"/>
  <c r="AD49" i="35"/>
  <c r="AB49" i="35"/>
  <c r="AC52" i="35"/>
  <c r="AE52" i="35"/>
  <c r="V59" i="35"/>
  <c r="X59" i="35" s="1"/>
  <c r="S59" i="35"/>
  <c r="W59" i="35"/>
  <c r="AC66" i="35"/>
  <c r="AE66" i="35"/>
  <c r="S17" i="35"/>
  <c r="W17" i="35"/>
  <c r="V17" i="35"/>
  <c r="X17" i="35" s="1"/>
  <c r="S25" i="35"/>
  <c r="W25" i="35"/>
  <c r="V25" i="35"/>
  <c r="X25" i="35" s="1"/>
  <c r="Z46" i="35"/>
  <c r="AA46" i="35"/>
  <c r="V56" i="35"/>
  <c r="X56" i="35" s="1"/>
  <c r="S56" i="35"/>
  <c r="W56" i="35"/>
  <c r="S70" i="35"/>
  <c r="W70" i="35"/>
  <c r="V70" i="35"/>
  <c r="X70" i="35" s="1"/>
  <c r="AC8" i="35"/>
  <c r="AE8" i="35"/>
  <c r="V60" i="35"/>
  <c r="X60" i="35" s="1"/>
  <c r="S60" i="35"/>
  <c r="W60" i="35"/>
  <c r="AC50" i="35"/>
  <c r="AE50" i="35"/>
  <c r="Z44" i="35"/>
  <c r="AA44" i="35"/>
  <c r="T9" i="35"/>
  <c r="AC16" i="35"/>
  <c r="AE16" i="35"/>
  <c r="T24" i="35"/>
  <c r="AA28" i="35"/>
  <c r="Z28" i="35"/>
  <c r="AE61" i="35"/>
  <c r="AC61" i="35"/>
  <c r="T51" i="35"/>
  <c r="T12" i="35"/>
  <c r="Z40" i="35"/>
  <c r="AA40" i="35"/>
  <c r="AA67" i="35"/>
  <c r="Z67" i="35"/>
  <c r="AB6" i="35"/>
  <c r="AD6" i="35"/>
  <c r="S21" i="35"/>
  <c r="W21" i="35"/>
  <c r="V21" i="35"/>
  <c r="X21" i="35" s="1"/>
  <c r="AD29" i="35"/>
  <c r="AB29" i="35"/>
  <c r="Z57" i="35"/>
  <c r="AA57" i="35"/>
  <c r="AE71" i="35"/>
  <c r="AC71" i="35"/>
  <c r="T14" i="35"/>
  <c r="AA18" i="35"/>
  <c r="Z18" i="35"/>
  <c r="AC20" i="35"/>
  <c r="AE20" i="35"/>
  <c r="AD26" i="35"/>
  <c r="AB26" i="35"/>
  <c r="T53" i="35"/>
  <c r="AB33" i="35"/>
  <c r="AD33" i="35"/>
  <c r="Z11" i="35"/>
  <c r="AA11" i="35"/>
  <c r="Z47" i="35"/>
  <c r="AA47" i="35"/>
  <c r="AC70" i="35"/>
  <c r="AE70" i="35"/>
  <c r="AE5" i="35"/>
  <c r="AC5" i="35"/>
  <c r="T23" i="35"/>
  <c r="AA27" i="35"/>
  <c r="Z27" i="35"/>
  <c r="AC31" i="35"/>
  <c r="AE31" i="35"/>
  <c r="Z65" i="35"/>
  <c r="AA65" i="35"/>
  <c r="Z26" i="34"/>
  <c r="AA26" i="34"/>
  <c r="AD30" i="34"/>
  <c r="AB30" i="34"/>
  <c r="AC26" i="34"/>
  <c r="AE26" i="34"/>
  <c r="AD26" i="34"/>
  <c r="AB26" i="34"/>
  <c r="AD25" i="34"/>
  <c r="AB25" i="34"/>
  <c r="AD22" i="34"/>
  <c r="AB22" i="34"/>
  <c r="Z25" i="34"/>
  <c r="AA25" i="34"/>
  <c r="Z30" i="34"/>
  <c r="AA30" i="34"/>
  <c r="AC30" i="34"/>
  <c r="AE30" i="34"/>
  <c r="Z22" i="34"/>
  <c r="AA22" i="34"/>
  <c r="AC22" i="34"/>
  <c r="AE22" i="34"/>
  <c r="V19" i="34"/>
  <c r="X19" i="34" s="1"/>
  <c r="S19" i="34"/>
  <c r="W19" i="34"/>
  <c r="V16" i="34"/>
  <c r="X16" i="34" s="1"/>
  <c r="S16" i="34"/>
  <c r="W16" i="34"/>
  <c r="V17" i="34"/>
  <c r="X17" i="34" s="1"/>
  <c r="S17" i="34"/>
  <c r="W17" i="34"/>
  <c r="Z15" i="34"/>
  <c r="AA15" i="34"/>
  <c r="AC16" i="34"/>
  <c r="AE16" i="34"/>
  <c r="AB18" i="34"/>
  <c r="AD18" i="34"/>
  <c r="AE15" i="34"/>
  <c r="AC15" i="34"/>
  <c r="AE19" i="34"/>
  <c r="AC19" i="34"/>
  <c r="AE17" i="34"/>
  <c r="AC17" i="34"/>
  <c r="AC18" i="34"/>
  <c r="AE18" i="34"/>
  <c r="T19" i="34"/>
  <c r="AD15" i="34"/>
  <c r="AB15" i="34"/>
  <c r="Z18" i="34"/>
  <c r="AA18" i="34"/>
  <c r="T17" i="34"/>
  <c r="V5" i="34"/>
  <c r="X5" i="34" s="1"/>
  <c r="S5" i="34"/>
  <c r="W5" i="34"/>
  <c r="V12" i="34"/>
  <c r="X12" i="34" s="1"/>
  <c r="S12" i="34"/>
  <c r="W12" i="34"/>
  <c r="V11" i="34"/>
  <c r="X11" i="34" s="1"/>
  <c r="S11" i="34"/>
  <c r="W11" i="34"/>
  <c r="Z13" i="34"/>
  <c r="AA13" i="34"/>
  <c r="AD9" i="34"/>
  <c r="AB9" i="34"/>
  <c r="V8" i="34"/>
  <c r="X8" i="34" s="1"/>
  <c r="S8" i="34"/>
  <c r="W8" i="34"/>
  <c r="V14" i="34"/>
  <c r="X14" i="34" s="1"/>
  <c r="S14" i="34"/>
  <c r="W14" i="34"/>
  <c r="Z10" i="34"/>
  <c r="AA10" i="34"/>
  <c r="AC12" i="34"/>
  <c r="AE12" i="34"/>
  <c r="V7" i="34"/>
  <c r="X7" i="34" s="1"/>
  <c r="S7" i="34"/>
  <c r="W7" i="34"/>
  <c r="AB6" i="34"/>
  <c r="AD6" i="34"/>
  <c r="AC10" i="34"/>
  <c r="AE10" i="34"/>
  <c r="AC6" i="34"/>
  <c r="AE6" i="34"/>
  <c r="AE13" i="34"/>
  <c r="AC13" i="34"/>
  <c r="AE9" i="34"/>
  <c r="AC9" i="34"/>
  <c r="AE5" i="34"/>
  <c r="AC5" i="34"/>
  <c r="T12" i="34"/>
  <c r="AE11" i="34"/>
  <c r="AC11" i="34"/>
  <c r="AC8" i="34"/>
  <c r="AE8" i="34"/>
  <c r="AD13" i="34"/>
  <c r="AB13" i="34"/>
  <c r="Z9" i="34"/>
  <c r="AA9" i="34"/>
  <c r="AC14" i="34"/>
  <c r="AE14" i="34"/>
  <c r="T5" i="34"/>
  <c r="AB10" i="34"/>
  <c r="AD10" i="34"/>
  <c r="Z6" i="34"/>
  <c r="AA6" i="34"/>
  <c r="T11" i="34"/>
  <c r="T8" i="34"/>
  <c r="AE7" i="34"/>
  <c r="AC7" i="34"/>
  <c r="T14" i="34"/>
  <c r="AB3" i="34"/>
  <c r="AD3" i="34"/>
  <c r="AA3" i="34"/>
  <c r="Z3" i="34"/>
  <c r="AC23" i="33"/>
  <c r="AE23" i="33"/>
  <c r="AB25" i="33"/>
  <c r="AD25" i="33"/>
  <c r="Z27" i="33"/>
  <c r="AA27" i="33"/>
  <c r="V23" i="33"/>
  <c r="X23" i="33" s="1"/>
  <c r="W23" i="33"/>
  <c r="S23" i="33"/>
  <c r="AB27" i="33"/>
  <c r="AD27" i="33"/>
  <c r="AE25" i="33"/>
  <c r="AC25" i="33"/>
  <c r="AC27" i="33"/>
  <c r="AE27" i="33"/>
  <c r="Z25" i="33"/>
  <c r="AA25" i="33"/>
  <c r="V11" i="33"/>
  <c r="X11" i="33" s="1"/>
  <c r="S11" i="33"/>
  <c r="W11" i="33"/>
  <c r="AA16" i="33"/>
  <c r="Z16" i="33"/>
  <c r="AC6" i="33"/>
  <c r="AE6" i="33"/>
  <c r="Z10" i="33"/>
  <c r="AA10" i="33"/>
  <c r="AB6" i="33"/>
  <c r="AD6" i="33"/>
  <c r="AE5" i="33"/>
  <c r="AC5" i="33"/>
  <c r="AE17" i="33"/>
  <c r="AC17" i="33"/>
  <c r="AD20" i="33"/>
  <c r="AB20" i="33"/>
  <c r="AD7" i="33"/>
  <c r="AB7" i="33"/>
  <c r="Z5" i="33"/>
  <c r="AA5" i="33"/>
  <c r="AA13" i="33"/>
  <c r="Z13" i="33"/>
  <c r="AE15" i="33"/>
  <c r="AC15" i="33"/>
  <c r="AC12" i="33"/>
  <c r="AE12" i="33"/>
  <c r="AC8" i="33"/>
  <c r="AE8" i="33"/>
  <c r="AB18" i="33"/>
  <c r="AD18" i="33"/>
  <c r="AE7" i="33"/>
  <c r="AC7" i="33"/>
  <c r="AC18" i="33"/>
  <c r="AE18" i="33"/>
  <c r="S14" i="33"/>
  <c r="W14" i="33"/>
  <c r="V14" i="33"/>
  <c r="X14" i="33" s="1"/>
  <c r="AB13" i="33"/>
  <c r="AD13" i="33"/>
  <c r="AC14" i="33"/>
  <c r="AE14" i="33"/>
  <c r="S17" i="33"/>
  <c r="W17" i="33"/>
  <c r="V17" i="33"/>
  <c r="X17" i="33" s="1"/>
  <c r="AC10" i="33"/>
  <c r="AE10" i="33"/>
  <c r="AC20" i="33"/>
  <c r="AE20" i="33"/>
  <c r="S15" i="33"/>
  <c r="W15" i="33"/>
  <c r="V15" i="33"/>
  <c r="X15" i="33" s="1"/>
  <c r="V8" i="33"/>
  <c r="X8" i="33" s="1"/>
  <c r="S8" i="33"/>
  <c r="W8" i="33"/>
  <c r="AE11" i="33"/>
  <c r="AC11" i="33"/>
  <c r="AB10" i="33"/>
  <c r="AD10" i="33"/>
  <c r="Z6" i="33"/>
  <c r="AA6" i="33"/>
  <c r="T8" i="33"/>
  <c r="AA18" i="33"/>
  <c r="Z18" i="33"/>
  <c r="Z20" i="33"/>
  <c r="AA20" i="33"/>
  <c r="S12" i="33"/>
  <c r="W12" i="33"/>
  <c r="V12" i="33"/>
  <c r="X12" i="33" s="1"/>
  <c r="AB16" i="33"/>
  <c r="AD16" i="33"/>
  <c r="V9" i="33"/>
  <c r="X9" i="33" s="1"/>
  <c r="S9" i="33"/>
  <c r="W9" i="33"/>
  <c r="AC16" i="33"/>
  <c r="AE16" i="33"/>
  <c r="Z7" i="33"/>
  <c r="AA7" i="33"/>
  <c r="T11" i="33"/>
  <c r="AD5" i="33"/>
  <c r="AB5" i="33"/>
  <c r="T12" i="33"/>
  <c r="AE13" i="33"/>
  <c r="AC13" i="33"/>
  <c r="AE9" i="33"/>
  <c r="AC9" i="33"/>
  <c r="T14" i="33"/>
  <c r="AA3" i="33"/>
  <c r="Z3" i="33"/>
  <c r="AB3" i="33"/>
  <c r="AD3" i="33"/>
  <c r="AC17" i="32"/>
  <c r="AE17" i="32"/>
  <c r="AC21" i="32"/>
  <c r="AE21" i="32"/>
  <c r="AC13" i="32"/>
  <c r="AE13" i="32"/>
  <c r="AC30" i="32"/>
  <c r="AE30" i="32"/>
  <c r="AC20" i="32"/>
  <c r="AE20" i="32"/>
  <c r="AC9" i="32"/>
  <c r="AE9" i="32"/>
  <c r="AC43" i="32"/>
  <c r="AE43" i="32"/>
  <c r="AC39" i="32"/>
  <c r="AE39" i="32"/>
  <c r="AC12" i="32"/>
  <c r="AE12" i="32"/>
  <c r="AC8" i="32"/>
  <c r="AE8" i="32"/>
  <c r="AC35" i="32"/>
  <c r="AE35" i="32"/>
  <c r="AE24" i="32"/>
  <c r="AC24" i="32"/>
  <c r="AC16" i="32"/>
  <c r="AE16" i="32"/>
  <c r="AC26" i="32"/>
  <c r="AE26" i="32"/>
  <c r="AD5" i="32" l="1"/>
  <c r="AB5" i="32"/>
  <c r="AB9" i="32"/>
  <c r="AD9" i="32"/>
  <c r="AB30" i="32"/>
  <c r="AD30" i="32"/>
  <c r="AB16" i="32"/>
  <c r="AD16" i="32"/>
  <c r="AD37" i="32"/>
  <c r="AB37" i="32"/>
  <c r="AB13" i="32"/>
  <c r="AD13" i="32"/>
  <c r="AB21" i="32"/>
  <c r="AD21" i="32"/>
  <c r="AB12" i="32"/>
  <c r="AD12" i="32"/>
  <c r="AA5" i="32"/>
  <c r="Z5" i="32"/>
  <c r="AD43" i="32"/>
  <c r="AB43" i="32"/>
  <c r="AB17" i="32"/>
  <c r="AD17" i="32"/>
  <c r="AD26" i="32"/>
  <c r="AB26" i="32"/>
  <c r="AB20" i="32"/>
  <c r="AD20" i="32"/>
  <c r="AB39" i="32"/>
  <c r="AD39" i="32"/>
  <c r="AD35" i="32"/>
  <c r="AB35" i="32"/>
  <c r="AD24" i="32"/>
  <c r="AB24" i="32"/>
  <c r="AD8" i="32"/>
  <c r="AB8" i="32"/>
  <c r="AA21" i="35"/>
  <c r="Z21" i="35"/>
  <c r="AB60" i="35"/>
  <c r="AD60" i="35"/>
  <c r="AA70" i="35"/>
  <c r="Z70" i="35"/>
  <c r="AB56" i="35"/>
  <c r="AD56" i="35"/>
  <c r="AA25" i="35"/>
  <c r="Z25" i="35"/>
  <c r="AD30" i="35"/>
  <c r="AB30" i="35"/>
  <c r="AA22" i="35"/>
  <c r="Z22" i="35"/>
  <c r="AB64" i="35"/>
  <c r="AD64" i="35"/>
  <c r="AD23" i="35"/>
  <c r="AB23" i="35"/>
  <c r="AA15" i="35"/>
  <c r="Z15" i="35"/>
  <c r="AB69" i="35"/>
  <c r="AD69" i="35"/>
  <c r="AA14" i="35"/>
  <c r="Z14" i="35"/>
  <c r="AA72" i="35"/>
  <c r="Z72" i="35"/>
  <c r="AD51" i="35"/>
  <c r="AB51" i="35"/>
  <c r="AB32" i="35"/>
  <c r="AD32" i="35"/>
  <c r="AA16" i="35"/>
  <c r="Z16" i="35"/>
  <c r="AD7" i="35"/>
  <c r="AB7" i="35"/>
  <c r="AD5" i="35"/>
  <c r="AB5" i="35"/>
  <c r="AB10" i="35"/>
  <c r="AD10" i="35"/>
  <c r="AD59" i="35"/>
  <c r="AB59" i="35"/>
  <c r="AA30" i="35"/>
  <c r="Z30" i="35"/>
  <c r="AA64" i="35"/>
  <c r="Z64" i="35"/>
  <c r="Z12" i="35"/>
  <c r="AA12" i="35"/>
  <c r="AD31" i="35"/>
  <c r="AB31" i="35"/>
  <c r="AA23" i="35"/>
  <c r="Z23" i="35"/>
  <c r="AA69" i="35"/>
  <c r="Z69" i="35"/>
  <c r="AD53" i="35"/>
  <c r="AB53" i="35"/>
  <c r="Z61" i="35"/>
  <c r="AA61" i="35"/>
  <c r="AA32" i="35"/>
  <c r="Z32" i="35"/>
  <c r="AB73" i="35"/>
  <c r="AD73" i="35"/>
  <c r="Z9" i="35"/>
  <c r="AA9" i="35"/>
  <c r="Z60" i="35"/>
  <c r="AA60" i="35"/>
  <c r="Z56" i="35"/>
  <c r="AA56" i="35"/>
  <c r="AD17" i="35"/>
  <c r="AB17" i="35"/>
  <c r="AD24" i="35"/>
  <c r="AB24" i="35"/>
  <c r="AA31" i="35"/>
  <c r="Z31" i="35"/>
  <c r="AB62" i="35"/>
  <c r="AD62" i="35"/>
  <c r="AB71" i="35"/>
  <c r="AD71" i="35"/>
  <c r="Z51" i="35"/>
  <c r="AA51" i="35"/>
  <c r="Z7" i="35"/>
  <c r="AA7" i="35"/>
  <c r="Z5" i="35"/>
  <c r="AA5" i="35"/>
  <c r="AA73" i="35"/>
  <c r="Z73" i="35"/>
  <c r="Z10" i="35"/>
  <c r="AA10" i="35"/>
  <c r="AD21" i="35"/>
  <c r="AB21" i="35"/>
  <c r="AB70" i="35"/>
  <c r="AD70" i="35"/>
  <c r="AD25" i="35"/>
  <c r="AB25" i="35"/>
  <c r="AA17" i="35"/>
  <c r="Z17" i="35"/>
  <c r="Z59" i="35"/>
  <c r="AA59" i="35"/>
  <c r="AD22" i="35"/>
  <c r="AB22" i="35"/>
  <c r="AB12" i="35"/>
  <c r="AD12" i="35"/>
  <c r="AA24" i="35"/>
  <c r="Z24" i="35"/>
  <c r="AB15" i="35"/>
  <c r="AD15" i="35"/>
  <c r="Z53" i="35"/>
  <c r="AA53" i="35"/>
  <c r="AA62" i="35"/>
  <c r="Z62" i="35"/>
  <c r="AB14" i="35"/>
  <c r="AD14" i="35"/>
  <c r="AA71" i="35"/>
  <c r="Z71" i="35"/>
  <c r="AB72" i="35"/>
  <c r="AD72" i="35"/>
  <c r="AD61" i="35"/>
  <c r="AB61" i="35"/>
  <c r="AD16" i="35"/>
  <c r="AB16" i="35"/>
  <c r="AD9" i="35"/>
  <c r="AB9" i="35"/>
  <c r="AB16" i="34"/>
  <c r="AD16" i="34"/>
  <c r="Z19" i="34"/>
  <c r="AA19" i="34"/>
  <c r="Z16" i="34"/>
  <c r="AA16" i="34"/>
  <c r="AD17" i="34"/>
  <c r="AB17" i="34"/>
  <c r="Z17" i="34"/>
  <c r="AA17" i="34"/>
  <c r="AD19" i="34"/>
  <c r="AB19" i="34"/>
  <c r="AD7" i="34"/>
  <c r="AB7" i="34"/>
  <c r="AB12" i="34"/>
  <c r="AD12" i="34"/>
  <c r="Z14" i="34"/>
  <c r="AA14" i="34"/>
  <c r="AD11" i="34"/>
  <c r="AB11" i="34"/>
  <c r="Z5" i="34"/>
  <c r="AA5" i="34"/>
  <c r="Z8" i="34"/>
  <c r="AA8" i="34"/>
  <c r="Z7" i="34"/>
  <c r="AA7" i="34"/>
  <c r="AB8" i="34"/>
  <c r="AD8" i="34"/>
  <c r="Z12" i="34"/>
  <c r="AA12" i="34"/>
  <c r="AB14" i="34"/>
  <c r="AD14" i="34"/>
  <c r="Z11" i="34"/>
  <c r="AA11" i="34"/>
  <c r="AD5" i="34"/>
  <c r="AB5" i="34"/>
  <c r="Z23" i="33"/>
  <c r="AA23" i="33"/>
  <c r="AB23" i="33"/>
  <c r="AD23" i="33"/>
  <c r="AB12" i="33"/>
  <c r="AD12" i="33"/>
  <c r="AB8" i="33"/>
  <c r="AD8" i="33"/>
  <c r="AD9" i="33"/>
  <c r="AB9" i="33"/>
  <c r="AA12" i="33"/>
  <c r="Z12" i="33"/>
  <c r="AB15" i="33"/>
  <c r="AD15" i="33"/>
  <c r="AA17" i="33"/>
  <c r="Z17" i="33"/>
  <c r="AA15" i="33"/>
  <c r="Z15" i="33"/>
  <c r="Z11" i="33"/>
  <c r="AA11" i="33"/>
  <c r="Z8" i="33"/>
  <c r="AA8" i="33"/>
  <c r="Z9" i="33"/>
  <c r="AA9" i="33"/>
  <c r="AB14" i="33"/>
  <c r="AD14" i="33"/>
  <c r="AB17" i="33"/>
  <c r="AD17" i="33"/>
  <c r="AA14" i="33"/>
  <c r="Z14" i="33"/>
  <c r="AD11" i="33"/>
  <c r="AB11" i="33"/>
  <c r="R4" i="26" l="1"/>
  <c r="R5" i="26"/>
  <c r="R6" i="26"/>
  <c r="R7" i="26"/>
  <c r="R8" i="26"/>
  <c r="R9" i="26"/>
  <c r="R10" i="26"/>
  <c r="R11" i="26"/>
  <c r="R12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" i="26"/>
  <c r="H4" i="30" l="1"/>
  <c r="H5" i="30"/>
  <c r="H6" i="30"/>
  <c r="H7" i="30"/>
  <c r="H8" i="30"/>
  <c r="H9" i="30"/>
  <c r="H10" i="30"/>
  <c r="I4" i="30"/>
  <c r="N4" i="30" s="1"/>
  <c r="I5" i="30"/>
  <c r="N5" i="30" s="1"/>
  <c r="I6" i="30"/>
  <c r="N6" i="30" s="1"/>
  <c r="I7" i="30"/>
  <c r="N7" i="30" s="1"/>
  <c r="I8" i="30"/>
  <c r="N8" i="30" s="1"/>
  <c r="I9" i="30"/>
  <c r="I10" i="30"/>
  <c r="N10" i="30" s="1"/>
  <c r="I3" i="30"/>
  <c r="N3" i="30" s="1"/>
  <c r="H3" i="30"/>
  <c r="N9" i="30"/>
  <c r="U5" i="30"/>
  <c r="Q5" i="30" s="1"/>
  <c r="U10" i="30" l="1"/>
  <c r="M10" i="30"/>
  <c r="P10" i="30"/>
  <c r="M6" i="30"/>
  <c r="P6" i="30"/>
  <c r="M3" i="30"/>
  <c r="P3" i="30"/>
  <c r="U3" i="30"/>
  <c r="Q3" i="30" s="1"/>
  <c r="T3" i="30" s="1"/>
  <c r="P9" i="30"/>
  <c r="M9" i="30"/>
  <c r="P5" i="30"/>
  <c r="M5" i="30"/>
  <c r="U9" i="30"/>
  <c r="Q9" i="30" s="1"/>
  <c r="T9" i="30" s="1"/>
  <c r="M8" i="30"/>
  <c r="P8" i="30"/>
  <c r="M4" i="30"/>
  <c r="P4" i="30"/>
  <c r="U7" i="30"/>
  <c r="Q7" i="30" s="1"/>
  <c r="P7" i="30"/>
  <c r="M7" i="30"/>
  <c r="R10" i="30"/>
  <c r="O10" i="30"/>
  <c r="Y9" i="30"/>
  <c r="AE9" i="30" s="1"/>
  <c r="Y5" i="30"/>
  <c r="AE5" i="30" s="1"/>
  <c r="T5" i="30"/>
  <c r="O4" i="30"/>
  <c r="U4" i="30"/>
  <c r="O6" i="30"/>
  <c r="U6" i="30"/>
  <c r="Q6" i="30" s="1"/>
  <c r="T7" i="30"/>
  <c r="O8" i="30"/>
  <c r="U8" i="30"/>
  <c r="Q8" i="30" s="1"/>
  <c r="Y3" i="30" l="1"/>
  <c r="AE3" i="30" s="1"/>
  <c r="Y7" i="30"/>
  <c r="AE7" i="30" s="1"/>
  <c r="R4" i="30"/>
  <c r="Q4" i="30"/>
  <c r="Y10" i="30"/>
  <c r="Q10" i="30"/>
  <c r="T10" i="30" s="1"/>
  <c r="S10" i="30"/>
  <c r="W10" i="30"/>
  <c r="R6" i="30"/>
  <c r="O5" i="30"/>
  <c r="R5" i="30"/>
  <c r="S5" i="30" s="1"/>
  <c r="R8" i="30"/>
  <c r="O3" i="30"/>
  <c r="R3" i="30"/>
  <c r="S3" i="30" s="1"/>
  <c r="Y8" i="30"/>
  <c r="AE8" i="30" s="1"/>
  <c r="Y6" i="30"/>
  <c r="V3" i="30"/>
  <c r="X3" i="30" s="1"/>
  <c r="W3" i="30"/>
  <c r="W7" i="30"/>
  <c r="V7" i="30"/>
  <c r="X7" i="30" s="1"/>
  <c r="AD7" i="30" s="1"/>
  <c r="O9" i="30"/>
  <c r="R9" i="30"/>
  <c r="S9" i="30" s="1"/>
  <c r="V5" i="30"/>
  <c r="X5" i="30" s="1"/>
  <c r="AD5" i="30" s="1"/>
  <c r="W5" i="30"/>
  <c r="W9" i="30"/>
  <c r="V9" i="30"/>
  <c r="X9" i="30" s="1"/>
  <c r="AD9" i="30" s="1"/>
  <c r="O7" i="30"/>
  <c r="R7" i="30"/>
  <c r="S7" i="30" s="1"/>
  <c r="Y4" i="30"/>
  <c r="J10" i="28"/>
  <c r="K10" i="28" s="1"/>
  <c r="D10" i="28"/>
  <c r="R10" i="28" s="1"/>
  <c r="S10" i="28"/>
  <c r="Q10" i="28"/>
  <c r="S8" i="28"/>
  <c r="J8" i="28"/>
  <c r="K8" i="28" s="1"/>
  <c r="D8" i="28"/>
  <c r="Q8" i="28" s="1"/>
  <c r="J6" i="28"/>
  <c r="K6" i="28" s="1"/>
  <c r="D6" i="28"/>
  <c r="R6" i="28"/>
  <c r="S6" i="28"/>
  <c r="Q6" i="28"/>
  <c r="J4" i="28"/>
  <c r="K4" i="28" s="1"/>
  <c r="S4" i="28"/>
  <c r="R4" i="28"/>
  <c r="Q4" i="28"/>
  <c r="J9" i="28"/>
  <c r="K9" i="28" s="1"/>
  <c r="J3" i="28"/>
  <c r="K3" i="28" s="1"/>
  <c r="J5" i="28"/>
  <c r="K5" i="28" s="1"/>
  <c r="J7" i="28"/>
  <c r="K7" i="28" s="1"/>
  <c r="J13" i="28"/>
  <c r="K13" i="28" s="1"/>
  <c r="J12" i="28"/>
  <c r="K12" i="28" s="1"/>
  <c r="J11" i="28"/>
  <c r="K11" i="28" s="1"/>
  <c r="I13" i="28"/>
  <c r="D12" i="28"/>
  <c r="D11" i="28"/>
  <c r="D9" i="28"/>
  <c r="D7" i="28"/>
  <c r="D5" i="28"/>
  <c r="D3" i="28"/>
  <c r="V10" i="30" l="1"/>
  <c r="X10" i="30" s="1"/>
  <c r="AD10" i="30" s="1"/>
  <c r="AC6" i="30"/>
  <c r="AE6" i="30"/>
  <c r="AE10" i="30"/>
  <c r="AC10" i="30"/>
  <c r="AC4" i="30"/>
  <c r="AE4" i="30"/>
  <c r="AB10" i="30"/>
  <c r="AB3" i="30"/>
  <c r="AD3" i="30"/>
  <c r="Z10" i="30"/>
  <c r="AC9" i="30"/>
  <c r="AC5" i="30"/>
  <c r="AB5" i="30"/>
  <c r="AC8" i="30"/>
  <c r="AB9" i="30"/>
  <c r="AC3" i="30"/>
  <c r="AB7" i="30"/>
  <c r="AA9" i="30"/>
  <c r="Z9" i="30"/>
  <c r="W4" i="30"/>
  <c r="S4" i="30"/>
  <c r="V4" i="30"/>
  <c r="X4" i="30" s="1"/>
  <c r="T4" i="30"/>
  <c r="AC7" i="30"/>
  <c r="Z7" i="30"/>
  <c r="AA7" i="30"/>
  <c r="W8" i="30"/>
  <c r="S8" i="30"/>
  <c r="V8" i="30"/>
  <c r="X8" i="30" s="1"/>
  <c r="T8" i="30"/>
  <c r="AA5" i="30"/>
  <c r="Z5" i="30"/>
  <c r="AA3" i="30"/>
  <c r="Z3" i="30"/>
  <c r="W6" i="30"/>
  <c r="S6" i="30"/>
  <c r="V6" i="30"/>
  <c r="X6" i="30" s="1"/>
  <c r="T6" i="30"/>
  <c r="W10" i="28"/>
  <c r="U10" i="28"/>
  <c r="V10" i="28"/>
  <c r="T10" i="28"/>
  <c r="I10" i="28"/>
  <c r="N10" i="28" s="1"/>
  <c r="O10" i="28" s="1"/>
  <c r="P10" i="28"/>
  <c r="U8" i="28"/>
  <c r="R8" i="28"/>
  <c r="T8" i="28" s="1"/>
  <c r="V8" i="28"/>
  <c r="I8" i="28"/>
  <c r="P8" i="28"/>
  <c r="W6" i="28"/>
  <c r="U6" i="28"/>
  <c r="V6" i="28"/>
  <c r="T6" i="28"/>
  <c r="I6" i="28"/>
  <c r="P6" i="28"/>
  <c r="W4" i="28"/>
  <c r="U4" i="28"/>
  <c r="T4" i="28"/>
  <c r="V4" i="28"/>
  <c r="I4" i="28"/>
  <c r="N4" i="28" s="1"/>
  <c r="O4" i="28" s="1"/>
  <c r="P4" i="28"/>
  <c r="Q13" i="28"/>
  <c r="U13" i="28" s="1"/>
  <c r="AA13" i="28" s="1"/>
  <c r="Q12" i="28"/>
  <c r="P12" i="28" s="1"/>
  <c r="I12" i="28"/>
  <c r="Q11" i="28"/>
  <c r="S11" i="28"/>
  <c r="I11" i="28"/>
  <c r="Q9" i="28"/>
  <c r="I9" i="28"/>
  <c r="Q7" i="28"/>
  <c r="U7" i="28" s="1"/>
  <c r="I7" i="28"/>
  <c r="Q5" i="28"/>
  <c r="P5" i="28" s="1"/>
  <c r="I5" i="28"/>
  <c r="Q3" i="28"/>
  <c r="S3" i="28"/>
  <c r="I3" i="28"/>
  <c r="AA10" i="30" l="1"/>
  <c r="AA7" i="28"/>
  <c r="X4" i="28"/>
  <c r="AA8" i="28"/>
  <c r="Z8" i="28"/>
  <c r="Z6" i="28"/>
  <c r="AA6" i="28"/>
  <c r="Z4" i="28"/>
  <c r="AA4" i="28"/>
  <c r="X8" i="28"/>
  <c r="AA10" i="28"/>
  <c r="Z10" i="28"/>
  <c r="N6" i="28"/>
  <c r="O6" i="28" s="1"/>
  <c r="N8" i="28"/>
  <c r="O8" i="28" s="1"/>
  <c r="AB4" i="30"/>
  <c r="AD4" i="30"/>
  <c r="AB6" i="30"/>
  <c r="AD6" i="30"/>
  <c r="AB8" i="30"/>
  <c r="AD8" i="30"/>
  <c r="AA4" i="30"/>
  <c r="Z4" i="30"/>
  <c r="AA8" i="30"/>
  <c r="Z8" i="30"/>
  <c r="AA6" i="30"/>
  <c r="Z6" i="30"/>
  <c r="X10" i="28"/>
  <c r="Y10" i="28"/>
  <c r="W8" i="28"/>
  <c r="Y8" i="28"/>
  <c r="X6" i="28"/>
  <c r="Y6" i="28"/>
  <c r="Y4" i="28"/>
  <c r="Y7" i="28"/>
  <c r="Y13" i="28"/>
  <c r="P11" i="28"/>
  <c r="N9" i="28"/>
  <c r="N7" i="28"/>
  <c r="O7" i="28" s="1"/>
  <c r="N11" i="28"/>
  <c r="O11" i="28" s="1"/>
  <c r="N13" i="28"/>
  <c r="P3" i="28"/>
  <c r="N3" i="28"/>
  <c r="O3" i="28" s="1"/>
  <c r="V3" i="28"/>
  <c r="V11" i="28"/>
  <c r="U5" i="28"/>
  <c r="Y5" i="28" s="1"/>
  <c r="U12" i="28"/>
  <c r="Y12" i="28" s="1"/>
  <c r="U3" i="28"/>
  <c r="Y3" i="28" s="1"/>
  <c r="N5" i="28"/>
  <c r="O5" i="28" s="1"/>
  <c r="R5" i="28"/>
  <c r="T5" i="28" s="1"/>
  <c r="X5" i="28" s="1"/>
  <c r="U11" i="28"/>
  <c r="Y11" i="28" s="1"/>
  <c r="N12" i="28"/>
  <c r="O12" i="28" s="1"/>
  <c r="R12" i="28"/>
  <c r="T12" i="28" s="1"/>
  <c r="X12" i="28" s="1"/>
  <c r="R3" i="28"/>
  <c r="T3" i="28" s="1"/>
  <c r="X3" i="28" s="1"/>
  <c r="S5" i="28"/>
  <c r="U9" i="28"/>
  <c r="Y9" i="28" s="1"/>
  <c r="R11" i="28"/>
  <c r="T11" i="28" s="1"/>
  <c r="X11" i="28" s="1"/>
  <c r="S12" i="28"/>
  <c r="D36" i="27"/>
  <c r="H36" i="27" s="1"/>
  <c r="D37" i="27"/>
  <c r="I37" i="27" s="1"/>
  <c r="V37" i="27" s="1"/>
  <c r="D38" i="27"/>
  <c r="I38" i="27" s="1"/>
  <c r="V38" i="27" s="1"/>
  <c r="D39" i="27"/>
  <c r="I39" i="27" s="1"/>
  <c r="V39" i="27" s="1"/>
  <c r="D40" i="27"/>
  <c r="I40" i="27" s="1"/>
  <c r="V40" i="27" s="1"/>
  <c r="D41" i="27"/>
  <c r="I41" i="27" s="1"/>
  <c r="V41" i="27" s="1"/>
  <c r="D42" i="27"/>
  <c r="I42" i="27" s="1"/>
  <c r="V42" i="27" s="1"/>
  <c r="D43" i="27"/>
  <c r="I43" i="27" s="1"/>
  <c r="V43" i="27" s="1"/>
  <c r="D44" i="27"/>
  <c r="I44" i="27" s="1"/>
  <c r="V44" i="27" s="1"/>
  <c r="D4" i="27"/>
  <c r="I4" i="27" s="1"/>
  <c r="V4" i="27" s="1"/>
  <c r="D5" i="27"/>
  <c r="I5" i="27" s="1"/>
  <c r="V5" i="27" s="1"/>
  <c r="D6" i="27"/>
  <c r="I6" i="27" s="1"/>
  <c r="V6" i="27" s="1"/>
  <c r="D7" i="27"/>
  <c r="I7" i="27" s="1"/>
  <c r="V7" i="27" s="1"/>
  <c r="D8" i="27"/>
  <c r="I8" i="27" s="1"/>
  <c r="V8" i="27" s="1"/>
  <c r="D9" i="27"/>
  <c r="I9" i="27" s="1"/>
  <c r="V9" i="27" s="1"/>
  <c r="D10" i="27"/>
  <c r="I10" i="27" s="1"/>
  <c r="V10" i="27" s="1"/>
  <c r="D11" i="27"/>
  <c r="I11" i="27" s="1"/>
  <c r="V11" i="27" s="1"/>
  <c r="D12" i="27"/>
  <c r="I12" i="27" s="1"/>
  <c r="V12" i="27" s="1"/>
  <c r="D13" i="27"/>
  <c r="I13" i="27" s="1"/>
  <c r="V13" i="27" s="1"/>
  <c r="D14" i="27"/>
  <c r="I14" i="27" s="1"/>
  <c r="V14" i="27" s="1"/>
  <c r="D15" i="27"/>
  <c r="I15" i="27" s="1"/>
  <c r="V15" i="27" s="1"/>
  <c r="D16" i="27"/>
  <c r="I16" i="27" s="1"/>
  <c r="V16" i="27" s="1"/>
  <c r="D17" i="27"/>
  <c r="I17" i="27" s="1"/>
  <c r="V17" i="27" s="1"/>
  <c r="D18" i="27"/>
  <c r="I18" i="27" s="1"/>
  <c r="V18" i="27" s="1"/>
  <c r="D19" i="27"/>
  <c r="I19" i="27" s="1"/>
  <c r="V19" i="27" s="1"/>
  <c r="D20" i="27"/>
  <c r="I20" i="27" s="1"/>
  <c r="V20" i="27" s="1"/>
  <c r="D21" i="27"/>
  <c r="I21" i="27" s="1"/>
  <c r="V21" i="27" s="1"/>
  <c r="D22" i="27"/>
  <c r="I22" i="27" s="1"/>
  <c r="V22" i="27" s="1"/>
  <c r="D23" i="27"/>
  <c r="I23" i="27" s="1"/>
  <c r="V23" i="27" s="1"/>
  <c r="D24" i="27"/>
  <c r="I24" i="27" s="1"/>
  <c r="V24" i="27" s="1"/>
  <c r="D25" i="27"/>
  <c r="I25" i="27" s="1"/>
  <c r="V25" i="27" s="1"/>
  <c r="D26" i="27"/>
  <c r="I26" i="27" s="1"/>
  <c r="V26" i="27" s="1"/>
  <c r="D27" i="27"/>
  <c r="I27" i="27" s="1"/>
  <c r="V27" i="27" s="1"/>
  <c r="D28" i="27"/>
  <c r="I28" i="27" s="1"/>
  <c r="V28" i="27" s="1"/>
  <c r="D29" i="27"/>
  <c r="I29" i="27" s="1"/>
  <c r="V29" i="27" s="1"/>
  <c r="D30" i="27"/>
  <c r="I30" i="27" s="1"/>
  <c r="V30" i="27" s="1"/>
  <c r="D31" i="27"/>
  <c r="I31" i="27" s="1"/>
  <c r="V31" i="27" s="1"/>
  <c r="D32" i="27"/>
  <c r="I32" i="27" s="1"/>
  <c r="V32" i="27" s="1"/>
  <c r="D33" i="27"/>
  <c r="I33" i="27" s="1"/>
  <c r="V33" i="27" s="1"/>
  <c r="D34" i="27"/>
  <c r="I34" i="27" s="1"/>
  <c r="V34" i="27" s="1"/>
  <c r="D35" i="27"/>
  <c r="I35" i="27" s="1"/>
  <c r="V35" i="27" s="1"/>
  <c r="D3" i="27"/>
  <c r="I3" i="27" s="1"/>
  <c r="V3" i="27" s="1"/>
  <c r="J4" i="26"/>
  <c r="J5" i="26"/>
  <c r="J6" i="26"/>
  <c r="W6" i="26" s="1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K27" i="26" s="1"/>
  <c r="P27" i="26" s="1"/>
  <c r="Q27" i="26" s="1"/>
  <c r="J28" i="26"/>
  <c r="W28" i="26" s="1"/>
  <c r="S28" i="26" s="1"/>
  <c r="J29" i="26"/>
  <c r="K29" i="26" s="1"/>
  <c r="P29" i="26" s="1"/>
  <c r="Q29" i="26" s="1"/>
  <c r="J30" i="26"/>
  <c r="K30" i="26" s="1"/>
  <c r="P30" i="26" s="1"/>
  <c r="Q30" i="26" s="1"/>
  <c r="J31" i="26"/>
  <c r="K31" i="26" s="1"/>
  <c r="P31" i="26" s="1"/>
  <c r="Q31" i="26" s="1"/>
  <c r="J32" i="26"/>
  <c r="K32" i="26" s="1"/>
  <c r="P32" i="26" s="1"/>
  <c r="Q32" i="26" s="1"/>
  <c r="J33" i="26"/>
  <c r="K33" i="26" s="1"/>
  <c r="P33" i="26" s="1"/>
  <c r="Q33" i="26" s="1"/>
  <c r="J34" i="26"/>
  <c r="K34" i="26" s="1"/>
  <c r="P34" i="26" s="1"/>
  <c r="Q34" i="26" s="1"/>
  <c r="J35" i="26"/>
  <c r="K35" i="26" s="1"/>
  <c r="P35" i="26" s="1"/>
  <c r="Q35" i="26" s="1"/>
  <c r="J36" i="26"/>
  <c r="K36" i="26" s="1"/>
  <c r="P36" i="26" s="1"/>
  <c r="Q36" i="26" s="1"/>
  <c r="J3" i="26"/>
  <c r="J36" i="27" l="1"/>
  <c r="I36" i="27"/>
  <c r="V36" i="27" s="1"/>
  <c r="Z3" i="28"/>
  <c r="Z5" i="28"/>
  <c r="Z12" i="28"/>
  <c r="Z11" i="28"/>
  <c r="AA5" i="28"/>
  <c r="AA3" i="28"/>
  <c r="AA9" i="28"/>
  <c r="AA12" i="28"/>
  <c r="AA11" i="28"/>
  <c r="H34" i="27"/>
  <c r="J34" i="27"/>
  <c r="H30" i="27"/>
  <c r="J30" i="27"/>
  <c r="H26" i="27"/>
  <c r="J26" i="27"/>
  <c r="N26" i="27" s="1"/>
  <c r="H22" i="27"/>
  <c r="J22" i="27"/>
  <c r="H18" i="27"/>
  <c r="J18" i="27"/>
  <c r="N18" i="27" s="1"/>
  <c r="H14" i="27"/>
  <c r="J14" i="27"/>
  <c r="N14" i="27" s="1"/>
  <c r="H10" i="27"/>
  <c r="J10" i="27"/>
  <c r="H6" i="27"/>
  <c r="J6" i="27"/>
  <c r="H43" i="27"/>
  <c r="J43" i="27"/>
  <c r="H39" i="27"/>
  <c r="J39" i="27"/>
  <c r="H3" i="27"/>
  <c r="J3" i="27"/>
  <c r="N3" i="27" s="1"/>
  <c r="H33" i="27"/>
  <c r="J33" i="27"/>
  <c r="J29" i="27"/>
  <c r="N29" i="27" s="1"/>
  <c r="H25" i="27"/>
  <c r="J25" i="27"/>
  <c r="J21" i="27"/>
  <c r="N21" i="27" s="1"/>
  <c r="H17" i="27"/>
  <c r="J17" i="27"/>
  <c r="J13" i="27"/>
  <c r="N13" i="27" s="1"/>
  <c r="H9" i="27"/>
  <c r="J9" i="27"/>
  <c r="J5" i="27"/>
  <c r="N5" i="27" s="1"/>
  <c r="H42" i="27"/>
  <c r="J42" i="27"/>
  <c r="H38" i="27"/>
  <c r="J38" i="27"/>
  <c r="J32" i="27"/>
  <c r="N32" i="27" s="1"/>
  <c r="H28" i="27"/>
  <c r="J28" i="27"/>
  <c r="H24" i="27"/>
  <c r="J24" i="27"/>
  <c r="N24" i="27" s="1"/>
  <c r="J20" i="27"/>
  <c r="N20" i="27" s="1"/>
  <c r="J16" i="27"/>
  <c r="N16" i="27" s="1"/>
  <c r="H12" i="27"/>
  <c r="J12" i="27"/>
  <c r="N12" i="27" s="1"/>
  <c r="J8" i="27"/>
  <c r="N8" i="27" s="1"/>
  <c r="H4" i="27"/>
  <c r="J4" i="27"/>
  <c r="H41" i="27"/>
  <c r="J41" i="27"/>
  <c r="N41" i="27" s="1"/>
  <c r="H37" i="27"/>
  <c r="J37" i="27"/>
  <c r="N37" i="27" s="1"/>
  <c r="J35" i="27"/>
  <c r="N35" i="27" s="1"/>
  <c r="J31" i="27"/>
  <c r="N31" i="27" s="1"/>
  <c r="J27" i="27"/>
  <c r="N27" i="27" s="1"/>
  <c r="J23" i="27"/>
  <c r="N23" i="27" s="1"/>
  <c r="J19" i="27"/>
  <c r="N19" i="27" s="1"/>
  <c r="J15" i="27"/>
  <c r="N15" i="27" s="1"/>
  <c r="J11" i="27"/>
  <c r="N11" i="27" s="1"/>
  <c r="AA11" i="27" s="1"/>
  <c r="J7" i="27"/>
  <c r="N7" i="27" s="1"/>
  <c r="H44" i="27"/>
  <c r="J44" i="27"/>
  <c r="H40" i="27"/>
  <c r="J40" i="27"/>
  <c r="N40" i="27" s="1"/>
  <c r="AA40" i="27" s="1"/>
  <c r="N17" i="27"/>
  <c r="N43" i="27"/>
  <c r="N39" i="27"/>
  <c r="N44" i="27"/>
  <c r="AA44" i="27" s="1"/>
  <c r="N42" i="27"/>
  <c r="N38" i="27"/>
  <c r="O13" i="28"/>
  <c r="O9" i="28"/>
  <c r="P13" i="28"/>
  <c r="S13" i="28"/>
  <c r="R13" i="28"/>
  <c r="T13" i="28" s="1"/>
  <c r="R9" i="28"/>
  <c r="T9" i="28" s="1"/>
  <c r="P9" i="28"/>
  <c r="S9" i="28"/>
  <c r="P7" i="28"/>
  <c r="S7" i="28"/>
  <c r="R7" i="28"/>
  <c r="T7" i="28" s="1"/>
  <c r="W11" i="28"/>
  <c r="W12" i="28"/>
  <c r="V12" i="28"/>
  <c r="W5" i="28"/>
  <c r="V5" i="28"/>
  <c r="W3" i="28"/>
  <c r="N34" i="27"/>
  <c r="N33" i="27"/>
  <c r="AA33" i="27" s="1"/>
  <c r="H29" i="27"/>
  <c r="N10" i="27"/>
  <c r="H13" i="27"/>
  <c r="N25" i="27"/>
  <c r="N9" i="27"/>
  <c r="N30" i="27"/>
  <c r="O30" i="27" s="1"/>
  <c r="N22" i="27"/>
  <c r="N6" i="27"/>
  <c r="H21" i="27"/>
  <c r="H5" i="27"/>
  <c r="H32" i="27"/>
  <c r="H20" i="27"/>
  <c r="H16" i="27"/>
  <c r="H8" i="27"/>
  <c r="H35" i="27"/>
  <c r="H31" i="27"/>
  <c r="H27" i="27"/>
  <c r="H23" i="27"/>
  <c r="H19" i="27"/>
  <c r="H15" i="27"/>
  <c r="H11" i="27"/>
  <c r="H7" i="27"/>
  <c r="N36" i="27"/>
  <c r="N28" i="27"/>
  <c r="N4" i="27"/>
  <c r="O9" i="27"/>
  <c r="T9" i="27" s="1"/>
  <c r="U9" i="27" s="1"/>
  <c r="AA6" i="26"/>
  <c r="S6" i="26"/>
  <c r="X6" i="26" s="1"/>
  <c r="W36" i="26"/>
  <c r="S36" i="26" s="1"/>
  <c r="W32" i="26"/>
  <c r="S32" i="26" s="1"/>
  <c r="X32" i="26" s="1"/>
  <c r="Z32" i="26" s="1"/>
  <c r="K28" i="26"/>
  <c r="P28" i="26" s="1"/>
  <c r="Q28" i="26" s="1"/>
  <c r="W34" i="26"/>
  <c r="S34" i="26" s="1"/>
  <c r="X34" i="26" s="1"/>
  <c r="AA32" i="26"/>
  <c r="X28" i="26"/>
  <c r="Z28" i="26" s="1"/>
  <c r="AA28" i="26"/>
  <c r="X36" i="26"/>
  <c r="Z36" i="26" s="1"/>
  <c r="O36" i="26"/>
  <c r="T36" i="26" s="1"/>
  <c r="W35" i="26"/>
  <c r="O32" i="26"/>
  <c r="W31" i="26"/>
  <c r="W27" i="26"/>
  <c r="O33" i="26"/>
  <c r="O29" i="26"/>
  <c r="W29" i="26"/>
  <c r="O35" i="26"/>
  <c r="O31" i="26"/>
  <c r="O27" i="26"/>
  <c r="O34" i="26"/>
  <c r="O30" i="26"/>
  <c r="W30" i="26"/>
  <c r="S30" i="26" s="1"/>
  <c r="W33" i="26"/>
  <c r="S33" i="26" s="1"/>
  <c r="K26" i="26"/>
  <c r="P26" i="26" s="1"/>
  <c r="Q26" i="26" s="1"/>
  <c r="W26" i="26"/>
  <c r="S26" i="26" s="1"/>
  <c r="K22" i="26"/>
  <c r="P22" i="26" s="1"/>
  <c r="Q22" i="26" s="1"/>
  <c r="W22" i="26"/>
  <c r="S22" i="26" s="1"/>
  <c r="K25" i="26"/>
  <c r="P25" i="26" s="1"/>
  <c r="Q25" i="26" s="1"/>
  <c r="W25" i="26"/>
  <c r="W24" i="26"/>
  <c r="K24" i="26"/>
  <c r="P24" i="26" s="1"/>
  <c r="Q24" i="26" s="1"/>
  <c r="K20" i="26"/>
  <c r="P20" i="26" s="1"/>
  <c r="Q20" i="26" s="1"/>
  <c r="W20" i="26"/>
  <c r="K16" i="26"/>
  <c r="P16" i="26" s="1"/>
  <c r="Q16" i="26" s="1"/>
  <c r="W16" i="26"/>
  <c r="S16" i="26" s="1"/>
  <c r="W3" i="26"/>
  <c r="K3" i="26"/>
  <c r="P3" i="26" s="1"/>
  <c r="Q3" i="26" s="1"/>
  <c r="K19" i="26"/>
  <c r="P19" i="26" s="1"/>
  <c r="Q19" i="26" s="1"/>
  <c r="W19" i="26"/>
  <c r="AA19" i="26" s="1"/>
  <c r="K15" i="26"/>
  <c r="P15" i="26" s="1"/>
  <c r="Q15" i="26" s="1"/>
  <c r="W15" i="26"/>
  <c r="K11" i="26"/>
  <c r="P11" i="26" s="1"/>
  <c r="Q11" i="26" s="1"/>
  <c r="W11" i="26"/>
  <c r="W7" i="26"/>
  <c r="K7" i="26"/>
  <c r="P7" i="26" s="1"/>
  <c r="Q7" i="26" s="1"/>
  <c r="K23" i="26"/>
  <c r="P23" i="26" s="1"/>
  <c r="Q23" i="26" s="1"/>
  <c r="W23" i="26"/>
  <c r="K10" i="26"/>
  <c r="P10" i="26" s="1"/>
  <c r="Q10" i="26" s="1"/>
  <c r="W10" i="26"/>
  <c r="S10" i="26" s="1"/>
  <c r="K6" i="26"/>
  <c r="P6" i="26" s="1"/>
  <c r="Q6" i="26" s="1"/>
  <c r="W21" i="26"/>
  <c r="AA21" i="26" s="1"/>
  <c r="K21" i="26"/>
  <c r="P21" i="26" s="1"/>
  <c r="Q21" i="26" s="1"/>
  <c r="W17" i="26"/>
  <c r="K17" i="26"/>
  <c r="P17" i="26" s="1"/>
  <c r="Q17" i="26" s="1"/>
  <c r="W13" i="26"/>
  <c r="K13" i="26"/>
  <c r="P13" i="26" s="1"/>
  <c r="Q13" i="26" s="1"/>
  <c r="K9" i="26"/>
  <c r="P9" i="26" s="1"/>
  <c r="Q9" i="26" s="1"/>
  <c r="W9" i="26"/>
  <c r="S9" i="26" s="1"/>
  <c r="W5" i="26"/>
  <c r="K5" i="26"/>
  <c r="P5" i="26" s="1"/>
  <c r="Q5" i="26" s="1"/>
  <c r="O27" i="27" l="1"/>
  <c r="AA27" i="27"/>
  <c r="AE27" i="27" s="1"/>
  <c r="AI27" i="27" s="1"/>
  <c r="O18" i="27"/>
  <c r="T18" i="27" s="1"/>
  <c r="U18" i="27" s="1"/>
  <c r="AA18" i="27"/>
  <c r="AE18" i="27" s="1"/>
  <c r="AE32" i="26"/>
  <c r="O16" i="27"/>
  <c r="S16" i="27" s="1"/>
  <c r="X16" i="27" s="1"/>
  <c r="AA16" i="27"/>
  <c r="O8" i="27"/>
  <c r="S8" i="27" s="1"/>
  <c r="AA8" i="27"/>
  <c r="O19" i="27"/>
  <c r="S19" i="27" s="1"/>
  <c r="AA19" i="27"/>
  <c r="AE19" i="27" s="1"/>
  <c r="AA35" i="27"/>
  <c r="AE35" i="27" s="1"/>
  <c r="O35" i="27"/>
  <c r="S35" i="27" s="1"/>
  <c r="X35" i="27" s="1"/>
  <c r="AF36" i="26"/>
  <c r="O12" i="27"/>
  <c r="S12" i="27" s="1"/>
  <c r="AA22" i="27"/>
  <c r="W22" i="27" s="1"/>
  <c r="AB22" i="27" s="1"/>
  <c r="AD22" i="27" s="1"/>
  <c r="O17" i="27"/>
  <c r="T17" i="27" s="1"/>
  <c r="U17" i="27" s="1"/>
  <c r="O24" i="27"/>
  <c r="S24" i="27" s="1"/>
  <c r="T16" i="27"/>
  <c r="U16" i="27" s="1"/>
  <c r="AA30" i="27"/>
  <c r="AE30" i="27" s="1"/>
  <c r="S30" i="27"/>
  <c r="O10" i="27"/>
  <c r="S10" i="27" s="1"/>
  <c r="O33" i="27"/>
  <c r="T33" i="27" s="1"/>
  <c r="U33" i="27" s="1"/>
  <c r="O40" i="27"/>
  <c r="S40" i="27" s="1"/>
  <c r="X40" i="27" s="1"/>
  <c r="AA39" i="27"/>
  <c r="W39" i="27" s="1"/>
  <c r="S27" i="27"/>
  <c r="AK27" i="27" s="1"/>
  <c r="O3" i="27"/>
  <c r="S3" i="27" s="1"/>
  <c r="AA28" i="27"/>
  <c r="O6" i="27"/>
  <c r="S6" i="27" s="1"/>
  <c r="X6" i="27" s="1"/>
  <c r="AA9" i="27"/>
  <c r="AE9" i="27" s="1"/>
  <c r="S9" i="27"/>
  <c r="O26" i="27"/>
  <c r="S26" i="27" s="1"/>
  <c r="AA34" i="27"/>
  <c r="O4" i="27"/>
  <c r="T4" i="27" s="1"/>
  <c r="U4" i="27" s="1"/>
  <c r="O36" i="27"/>
  <c r="S36" i="27" s="1"/>
  <c r="O14" i="27"/>
  <c r="S14" i="27" s="1"/>
  <c r="O25" i="27"/>
  <c r="T25" i="27" s="1"/>
  <c r="U25" i="27" s="1"/>
  <c r="S18" i="27"/>
  <c r="AK18" i="27" s="1"/>
  <c r="O44" i="27"/>
  <c r="T44" i="27" s="1"/>
  <c r="U44" i="27" s="1"/>
  <c r="S44" i="27"/>
  <c r="X44" i="27" s="1"/>
  <c r="O11" i="27"/>
  <c r="T11" i="27" s="1"/>
  <c r="U11" i="27" s="1"/>
  <c r="X7" i="28"/>
  <c r="Z7" i="28"/>
  <c r="X9" i="28"/>
  <c r="Z9" i="28"/>
  <c r="X13" i="28"/>
  <c r="Z13" i="28"/>
  <c r="AG32" i="26"/>
  <c r="AF32" i="26"/>
  <c r="O7" i="27"/>
  <c r="T7" i="27" s="1"/>
  <c r="U7" i="27" s="1"/>
  <c r="AA7" i="27"/>
  <c r="AA20" i="27"/>
  <c r="AE20" i="27" s="1"/>
  <c r="O20" i="27"/>
  <c r="S20" i="27" s="1"/>
  <c r="AA21" i="27"/>
  <c r="O21" i="27"/>
  <c r="S21" i="27" s="1"/>
  <c r="AA31" i="27"/>
  <c r="W31" i="27" s="1"/>
  <c r="Z31" i="27" s="1"/>
  <c r="O31" i="27"/>
  <c r="S31" i="27" s="1"/>
  <c r="AA32" i="27"/>
  <c r="W32" i="27" s="1"/>
  <c r="O32" i="27"/>
  <c r="S32" i="27" s="1"/>
  <c r="O13" i="27"/>
  <c r="S13" i="27" s="1"/>
  <c r="AA13" i="27"/>
  <c r="W13" i="27" s="1"/>
  <c r="AC13" i="27" s="1"/>
  <c r="O23" i="27"/>
  <c r="T23" i="27" s="1"/>
  <c r="U23" i="27" s="1"/>
  <c r="AA23" i="27"/>
  <c r="W23" i="27" s="1"/>
  <c r="O5" i="27"/>
  <c r="T5" i="27" s="1"/>
  <c r="U5" i="27" s="1"/>
  <c r="AA5" i="27"/>
  <c r="AE5" i="27" s="1"/>
  <c r="O15" i="27"/>
  <c r="S15" i="27" s="1"/>
  <c r="AA15" i="27"/>
  <c r="W15" i="27" s="1"/>
  <c r="AA29" i="27"/>
  <c r="O29" i="27"/>
  <c r="S29" i="27" s="1"/>
  <c r="X29" i="27" s="1"/>
  <c r="AA6" i="27"/>
  <c r="AA42" i="27"/>
  <c r="O42" i="27"/>
  <c r="S42" i="27" s="1"/>
  <c r="O41" i="27"/>
  <c r="S41" i="27" s="1"/>
  <c r="AA41" i="27"/>
  <c r="AA17" i="27"/>
  <c r="AA43" i="27"/>
  <c r="O43" i="27"/>
  <c r="T43" i="27" s="1"/>
  <c r="U43" i="27" s="1"/>
  <c r="AA38" i="27"/>
  <c r="O38" i="27"/>
  <c r="T38" i="27" s="1"/>
  <c r="U38" i="27" s="1"/>
  <c r="AA37" i="27"/>
  <c r="O37" i="27"/>
  <c r="S37" i="27" s="1"/>
  <c r="O39" i="27"/>
  <c r="T39" i="27" s="1"/>
  <c r="U39" i="27" s="1"/>
  <c r="T34" i="26"/>
  <c r="U34" i="26" s="1"/>
  <c r="O28" i="26"/>
  <c r="AE28" i="26" s="1"/>
  <c r="AA34" i="26"/>
  <c r="AG34" i="26" s="1"/>
  <c r="AA36" i="26"/>
  <c r="V9" i="28"/>
  <c r="W9" i="28"/>
  <c r="W13" i="28"/>
  <c r="V13" i="28"/>
  <c r="W7" i="28"/>
  <c r="V7" i="28"/>
  <c r="W44" i="27"/>
  <c r="AE44" i="27"/>
  <c r="W40" i="27"/>
  <c r="AE40" i="27"/>
  <c r="O34" i="27"/>
  <c r="T34" i="27" s="1"/>
  <c r="U34" i="27" s="1"/>
  <c r="T26" i="27"/>
  <c r="U26" i="27" s="1"/>
  <c r="AA26" i="27"/>
  <c r="AE26" i="27" s="1"/>
  <c r="AE23" i="27"/>
  <c r="T13" i="27"/>
  <c r="U13" i="27" s="1"/>
  <c r="W30" i="27"/>
  <c r="AB30" i="27" s="1"/>
  <c r="AD30" i="27" s="1"/>
  <c r="AJ30" i="27" s="1"/>
  <c r="O28" i="27"/>
  <c r="T28" i="27" s="1"/>
  <c r="U28" i="27" s="1"/>
  <c r="AA10" i="27"/>
  <c r="AE10" i="27" s="1"/>
  <c r="AA25" i="27"/>
  <c r="W25" i="27" s="1"/>
  <c r="AE22" i="27"/>
  <c r="AA14" i="27"/>
  <c r="W14" i="27" s="1"/>
  <c r="T36" i="27"/>
  <c r="U36" i="27" s="1"/>
  <c r="AA4" i="27"/>
  <c r="W4" i="27" s="1"/>
  <c r="T21" i="27"/>
  <c r="U21" i="27" s="1"/>
  <c r="AA36" i="27"/>
  <c r="AE36" i="27" s="1"/>
  <c r="W18" i="27"/>
  <c r="AB18" i="27" s="1"/>
  <c r="AD18" i="27" s="1"/>
  <c r="AJ18" i="27" s="1"/>
  <c r="W9" i="27"/>
  <c r="Z9" i="27" s="1"/>
  <c r="T24" i="27"/>
  <c r="U24" i="27" s="1"/>
  <c r="T6" i="27"/>
  <c r="U6" i="27" s="1"/>
  <c r="O22" i="27"/>
  <c r="T22" i="27" s="1"/>
  <c r="U22" i="27" s="1"/>
  <c r="T30" i="27"/>
  <c r="U30" i="27" s="1"/>
  <c r="T14" i="27"/>
  <c r="U14" i="27" s="1"/>
  <c r="AA3" i="27"/>
  <c r="T27" i="27"/>
  <c r="U27" i="27" s="1"/>
  <c r="AA12" i="27"/>
  <c r="W12" i="27" s="1"/>
  <c r="T31" i="27"/>
  <c r="U31" i="27" s="1"/>
  <c r="T20" i="27"/>
  <c r="U20" i="27" s="1"/>
  <c r="AA24" i="27"/>
  <c r="AE24" i="27" s="1"/>
  <c r="T32" i="27"/>
  <c r="U32" i="27" s="1"/>
  <c r="T3" i="27"/>
  <c r="U3" i="27" s="1"/>
  <c r="W35" i="27"/>
  <c r="Z35" i="27" s="1"/>
  <c r="X9" i="27"/>
  <c r="AE33" i="27"/>
  <c r="W33" i="27"/>
  <c r="AC23" i="27"/>
  <c r="AB23" i="27"/>
  <c r="AD23" i="27" s="1"/>
  <c r="AE16" i="27"/>
  <c r="W16" i="27"/>
  <c r="AE28" i="27"/>
  <c r="W28" i="27"/>
  <c r="Z22" i="27"/>
  <c r="AC22" i="27"/>
  <c r="AC31" i="27"/>
  <c r="AE21" i="27"/>
  <c r="W21" i="27"/>
  <c r="AE7" i="27"/>
  <c r="W7" i="27"/>
  <c r="AE8" i="27"/>
  <c r="W8" i="27"/>
  <c r="W5" i="27"/>
  <c r="AE29" i="27"/>
  <c r="W29" i="27"/>
  <c r="AE11" i="27"/>
  <c r="W11" i="27"/>
  <c r="AE6" i="27"/>
  <c r="W6" i="27"/>
  <c r="Z13" i="27"/>
  <c r="AB13" i="27"/>
  <c r="AD13" i="27" s="1"/>
  <c r="Z23" i="27"/>
  <c r="AE15" i="27"/>
  <c r="AE17" i="27"/>
  <c r="W17" i="27"/>
  <c r="S24" i="26"/>
  <c r="X24" i="26" s="1"/>
  <c r="AD36" i="26"/>
  <c r="AD32" i="26"/>
  <c r="T33" i="26"/>
  <c r="S17" i="26"/>
  <c r="X17" i="26" s="1"/>
  <c r="Z17" i="26" s="1"/>
  <c r="S15" i="26"/>
  <c r="X15" i="26" s="1"/>
  <c r="S20" i="26"/>
  <c r="X20" i="26" s="1"/>
  <c r="Z20" i="26" s="1"/>
  <c r="S25" i="26"/>
  <c r="X25" i="26" s="1"/>
  <c r="Z25" i="26" s="1"/>
  <c r="S27" i="26"/>
  <c r="T27" i="26"/>
  <c r="S35" i="26"/>
  <c r="T35" i="26"/>
  <c r="S7" i="26"/>
  <c r="Y7" i="26" s="1"/>
  <c r="AA29" i="26"/>
  <c r="S29" i="26"/>
  <c r="Y29" i="26" s="1"/>
  <c r="T32" i="26"/>
  <c r="U32" i="26" s="1"/>
  <c r="T30" i="26"/>
  <c r="S5" i="26"/>
  <c r="X5" i="26" s="1"/>
  <c r="Z5" i="26" s="1"/>
  <c r="S13" i="26"/>
  <c r="X13" i="26" s="1"/>
  <c r="Z13" i="26" s="1"/>
  <c r="S21" i="26"/>
  <c r="X21" i="26" s="1"/>
  <c r="Z21" i="26" s="1"/>
  <c r="S23" i="26"/>
  <c r="X23" i="26" s="1"/>
  <c r="S11" i="26"/>
  <c r="X11" i="26" s="1"/>
  <c r="S19" i="26"/>
  <c r="S31" i="26"/>
  <c r="T31" i="26"/>
  <c r="T29" i="26"/>
  <c r="S3" i="26"/>
  <c r="X3" i="26" s="1"/>
  <c r="Y32" i="26"/>
  <c r="AB32" i="26" s="1"/>
  <c r="U36" i="26"/>
  <c r="O24" i="26"/>
  <c r="T24" i="26" s="1"/>
  <c r="AA25" i="26"/>
  <c r="O17" i="26"/>
  <c r="T17" i="26" s="1"/>
  <c r="O6" i="26"/>
  <c r="T6" i="26" s="1"/>
  <c r="U6" i="26" s="1"/>
  <c r="O23" i="26"/>
  <c r="T23" i="26" s="1"/>
  <c r="O11" i="26"/>
  <c r="T11" i="26" s="1"/>
  <c r="O19" i="26"/>
  <c r="AE19" i="26" s="1"/>
  <c r="O16" i="26"/>
  <c r="T16" i="26" s="1"/>
  <c r="O22" i="26"/>
  <c r="T22" i="26" s="1"/>
  <c r="V32" i="26"/>
  <c r="V28" i="26"/>
  <c r="V36" i="26"/>
  <c r="AA27" i="26"/>
  <c r="AA35" i="26"/>
  <c r="O7" i="26"/>
  <c r="T7" i="26" s="1"/>
  <c r="U7" i="26" s="1"/>
  <c r="O9" i="26"/>
  <c r="T9" i="26" s="1"/>
  <c r="AA13" i="26"/>
  <c r="O5" i="26"/>
  <c r="O13" i="26"/>
  <c r="T13" i="26" s="1"/>
  <c r="O21" i="26"/>
  <c r="T21" i="26" s="1"/>
  <c r="O10" i="26"/>
  <c r="T10" i="26" s="1"/>
  <c r="V7" i="26"/>
  <c r="X7" i="26"/>
  <c r="O15" i="26"/>
  <c r="T15" i="26" s="1"/>
  <c r="O20" i="26"/>
  <c r="T20" i="26" s="1"/>
  <c r="O25" i="26"/>
  <c r="T25" i="26" s="1"/>
  <c r="O26" i="26"/>
  <c r="T26" i="26" s="1"/>
  <c r="Y28" i="26"/>
  <c r="AC28" i="26" s="1"/>
  <c r="Y36" i="26"/>
  <c r="AB36" i="26" s="1"/>
  <c r="U31" i="26"/>
  <c r="AA31" i="26"/>
  <c r="O3" i="26"/>
  <c r="T3" i="26" s="1"/>
  <c r="X30" i="26"/>
  <c r="AA30" i="26"/>
  <c r="X33" i="26"/>
  <c r="AA33" i="26"/>
  <c r="Z34" i="26"/>
  <c r="Y34" i="26"/>
  <c r="AB28" i="26"/>
  <c r="V34" i="26"/>
  <c r="AE34" i="26"/>
  <c r="AA20" i="26"/>
  <c r="AG20" i="26" s="1"/>
  <c r="AA7" i="26"/>
  <c r="AA17" i="26"/>
  <c r="AA9" i="26"/>
  <c r="AA16" i="26"/>
  <c r="AG16" i="26" s="1"/>
  <c r="Y16" i="26"/>
  <c r="AA22" i="26"/>
  <c r="AG22" i="26" s="1"/>
  <c r="AA10" i="26"/>
  <c r="AG10" i="26" s="1"/>
  <c r="AA26" i="26"/>
  <c r="AA3" i="26"/>
  <c r="AA5" i="26"/>
  <c r="AA23" i="26"/>
  <c r="AG23" i="26" s="1"/>
  <c r="K14" i="26"/>
  <c r="P14" i="26" s="1"/>
  <c r="Q14" i="26" s="1"/>
  <c r="W14" i="26"/>
  <c r="K8" i="26"/>
  <c r="P8" i="26" s="1"/>
  <c r="Q8" i="26" s="1"/>
  <c r="W8" i="26"/>
  <c r="AA11" i="26"/>
  <c r="AA15" i="26"/>
  <c r="K18" i="26"/>
  <c r="P18" i="26" s="1"/>
  <c r="Q18" i="26" s="1"/>
  <c r="W18" i="26"/>
  <c r="K4" i="26"/>
  <c r="P4" i="26" s="1"/>
  <c r="Q4" i="26" s="1"/>
  <c r="W4" i="26"/>
  <c r="W12" i="26"/>
  <c r="K12" i="26"/>
  <c r="P12" i="26" s="1"/>
  <c r="Q12" i="26" s="1"/>
  <c r="AA24" i="26"/>
  <c r="AG24" i="26" s="1"/>
  <c r="Y20" i="26"/>
  <c r="V20" i="26"/>
  <c r="Y21" i="26"/>
  <c r="V21" i="26"/>
  <c r="Z7" i="26"/>
  <c r="Z6" i="26"/>
  <c r="V6" i="26"/>
  <c r="Y6" i="26"/>
  <c r="AE32" i="27" l="1"/>
  <c r="Y5" i="26"/>
  <c r="AD28" i="26"/>
  <c r="AE6" i="26"/>
  <c r="AC32" i="26"/>
  <c r="AC18" i="27"/>
  <c r="AF18" i="27" s="1"/>
  <c r="T35" i="27"/>
  <c r="U35" i="27" s="1"/>
  <c r="W19" i="27"/>
  <c r="Z19" i="27" s="1"/>
  <c r="AE13" i="27"/>
  <c r="AK13" i="27" s="1"/>
  <c r="AK9" i="27"/>
  <c r="X18" i="27"/>
  <c r="X19" i="27"/>
  <c r="Y19" i="27" s="1"/>
  <c r="AK30" i="27"/>
  <c r="T29" i="27"/>
  <c r="U29" i="27" s="1"/>
  <c r="X8" i="27"/>
  <c r="AG5" i="26"/>
  <c r="W10" i="27"/>
  <c r="T19" i="27"/>
  <c r="U19" i="27" s="1"/>
  <c r="X27" i="27"/>
  <c r="T40" i="27"/>
  <c r="U40" i="27" s="1"/>
  <c r="X20" i="27"/>
  <c r="AF6" i="26"/>
  <c r="AG26" i="26"/>
  <c r="AG13" i="26"/>
  <c r="T28" i="26"/>
  <c r="U28" i="26" s="1"/>
  <c r="T12" i="27"/>
  <c r="U12" i="27" s="1"/>
  <c r="W27" i="27"/>
  <c r="Z27" i="27" s="1"/>
  <c r="T8" i="27"/>
  <c r="U8" i="27" s="1"/>
  <c r="AG15" i="26"/>
  <c r="U25" i="26"/>
  <c r="AE39" i="27"/>
  <c r="Y25" i="26"/>
  <c r="X30" i="27"/>
  <c r="Y30" i="27" s="1"/>
  <c r="T10" i="27"/>
  <c r="U10" i="27" s="1"/>
  <c r="AG7" i="26"/>
  <c r="AK36" i="27"/>
  <c r="AK26" i="27"/>
  <c r="AI40" i="27"/>
  <c r="AK40" i="27"/>
  <c r="S11" i="27"/>
  <c r="X11" i="27" s="1"/>
  <c r="S4" i="27"/>
  <c r="S17" i="27"/>
  <c r="X17" i="27" s="1"/>
  <c r="Y17" i="27" s="1"/>
  <c r="AK15" i="27"/>
  <c r="AK29" i="27"/>
  <c r="AK24" i="27"/>
  <c r="AK10" i="27"/>
  <c r="S7" i="27"/>
  <c r="AK7" i="27" s="1"/>
  <c r="AJ13" i="27"/>
  <c r="AK6" i="27"/>
  <c r="AK8" i="27"/>
  <c r="AI32" i="27"/>
  <c r="AK32" i="27"/>
  <c r="AI16" i="27"/>
  <c r="AK16" i="27"/>
  <c r="S5" i="27"/>
  <c r="X5" i="27" s="1"/>
  <c r="S43" i="27"/>
  <c r="X43" i="27" s="1"/>
  <c r="S25" i="27"/>
  <c r="X25" i="27" s="1"/>
  <c r="Y25" i="27" s="1"/>
  <c r="S34" i="27"/>
  <c r="X34" i="27" s="1"/>
  <c r="Y34" i="27" s="1"/>
  <c r="S28" i="27"/>
  <c r="AK28" i="27" s="1"/>
  <c r="S39" i="27"/>
  <c r="X39" i="27" s="1"/>
  <c r="S33" i="27"/>
  <c r="X33" i="27" s="1"/>
  <c r="S38" i="27"/>
  <c r="AK19" i="27"/>
  <c r="AK11" i="27"/>
  <c r="AK21" i="27"/>
  <c r="AI44" i="27"/>
  <c r="AK44" i="27"/>
  <c r="X13" i="27"/>
  <c r="Y13" i="27" s="1"/>
  <c r="AK20" i="27"/>
  <c r="S23" i="27"/>
  <c r="AJ23" i="27" s="1"/>
  <c r="AE34" i="27"/>
  <c r="W34" i="27"/>
  <c r="S22" i="27"/>
  <c r="AJ22" i="27" s="1"/>
  <c r="AK35" i="27"/>
  <c r="AD34" i="26"/>
  <c r="AF34" i="26"/>
  <c r="AE27" i="26"/>
  <c r="AG27" i="26"/>
  <c r="AF13" i="26"/>
  <c r="AF17" i="26"/>
  <c r="AF28" i="26"/>
  <c r="AD7" i="26"/>
  <c r="AF7" i="26"/>
  <c r="AE9" i="26"/>
  <c r="AG9" i="26"/>
  <c r="AE33" i="26"/>
  <c r="AG33" i="26"/>
  <c r="AF5" i="26"/>
  <c r="AF25" i="26"/>
  <c r="AG28" i="26"/>
  <c r="AE17" i="26"/>
  <c r="AG17" i="26"/>
  <c r="AE31" i="26"/>
  <c r="AG31" i="26"/>
  <c r="AE29" i="26"/>
  <c r="AG29" i="26"/>
  <c r="AF20" i="26"/>
  <c r="AG19" i="26"/>
  <c r="AE11" i="26"/>
  <c r="AG11" i="26"/>
  <c r="AG3" i="26"/>
  <c r="AE30" i="26"/>
  <c r="AG30" i="26"/>
  <c r="AE35" i="26"/>
  <c r="AG35" i="26"/>
  <c r="AG25" i="26"/>
  <c r="AF21" i="26"/>
  <c r="AE36" i="26"/>
  <c r="AG36" i="26"/>
  <c r="AG6" i="26"/>
  <c r="AG21" i="26"/>
  <c r="X32" i="27"/>
  <c r="X23" i="27"/>
  <c r="Y23" i="27" s="1"/>
  <c r="AE31" i="27"/>
  <c r="AK31" i="27" s="1"/>
  <c r="AI15" i="27"/>
  <c r="X21" i="27"/>
  <c r="Y21" i="27" s="1"/>
  <c r="X42" i="27"/>
  <c r="T15" i="27"/>
  <c r="U15" i="27" s="1"/>
  <c r="X15" i="27"/>
  <c r="AB31" i="27"/>
  <c r="AD31" i="27" s="1"/>
  <c r="AJ31" i="27" s="1"/>
  <c r="W20" i="27"/>
  <c r="AB20" i="27" s="1"/>
  <c r="AD20" i="27" s="1"/>
  <c r="AJ20" i="27" s="1"/>
  <c r="AI39" i="27"/>
  <c r="X31" i="27"/>
  <c r="Y31" i="27" s="1"/>
  <c r="AI26" i="27"/>
  <c r="T37" i="27"/>
  <c r="U37" i="27" s="1"/>
  <c r="AE25" i="27"/>
  <c r="AK25" i="27" s="1"/>
  <c r="W26" i="27"/>
  <c r="AC26" i="27" s="1"/>
  <c r="AF26" i="27" s="1"/>
  <c r="W37" i="27"/>
  <c r="AE37" i="27"/>
  <c r="X37" i="27"/>
  <c r="T41" i="27"/>
  <c r="U41" i="27" s="1"/>
  <c r="T42" i="27"/>
  <c r="U42" i="27" s="1"/>
  <c r="AE3" i="27"/>
  <c r="AK3" i="27" s="1"/>
  <c r="W3" i="27"/>
  <c r="W38" i="27"/>
  <c r="AE38" i="27"/>
  <c r="AK38" i="27" s="1"/>
  <c r="X38" i="27"/>
  <c r="AE43" i="27"/>
  <c r="W43" i="27"/>
  <c r="W41" i="27"/>
  <c r="AE41" i="27"/>
  <c r="AK41" i="27" s="1"/>
  <c r="X41" i="27"/>
  <c r="AE42" i="27"/>
  <c r="W42" i="27"/>
  <c r="U27" i="26"/>
  <c r="AE10" i="26"/>
  <c r="AE15" i="26"/>
  <c r="U13" i="26"/>
  <c r="Y17" i="26"/>
  <c r="AB17" i="26" s="1"/>
  <c r="AE23" i="26"/>
  <c r="U35" i="26"/>
  <c r="V13" i="26"/>
  <c r="V5" i="26"/>
  <c r="AD6" i="26"/>
  <c r="Y13" i="26"/>
  <c r="AC13" i="26" s="1"/>
  <c r="AE5" i="26"/>
  <c r="V25" i="26"/>
  <c r="V17" i="26"/>
  <c r="AE24" i="26"/>
  <c r="AD25" i="26"/>
  <c r="AD13" i="26"/>
  <c r="AD5" i="26"/>
  <c r="AD17" i="26"/>
  <c r="AD21" i="26"/>
  <c r="AD20" i="26"/>
  <c r="AB44" i="27"/>
  <c r="AD44" i="27" s="1"/>
  <c r="Y44" i="27"/>
  <c r="AC44" i="27"/>
  <c r="Z44" i="27"/>
  <c r="AB40" i="27"/>
  <c r="AD40" i="27" s="1"/>
  <c r="Y40" i="27"/>
  <c r="AC40" i="27"/>
  <c r="Z40" i="27"/>
  <c r="Y39" i="27"/>
  <c r="AC39" i="27"/>
  <c r="AB39" i="27"/>
  <c r="AD39" i="27" s="1"/>
  <c r="Z39" i="27"/>
  <c r="X26" i="27"/>
  <c r="Z30" i="27"/>
  <c r="AC30" i="27"/>
  <c r="AF30" i="27" s="1"/>
  <c r="AI24" i="27"/>
  <c r="Z20" i="27"/>
  <c r="X12" i="27"/>
  <c r="Z18" i="27"/>
  <c r="AB19" i="27"/>
  <c r="AD19" i="27" s="1"/>
  <c r="AJ19" i="27" s="1"/>
  <c r="AB27" i="27"/>
  <c r="AD27" i="27" s="1"/>
  <c r="AC9" i="27"/>
  <c r="AF9" i="27" s="1"/>
  <c r="AC27" i="27"/>
  <c r="AF27" i="27" s="1"/>
  <c r="X10" i="27"/>
  <c r="Y10" i="27" s="1"/>
  <c r="AH30" i="27"/>
  <c r="Y27" i="27"/>
  <c r="X4" i="27"/>
  <c r="Y18" i="27"/>
  <c r="X14" i="27"/>
  <c r="Y14" i="27" s="1"/>
  <c r="W36" i="27"/>
  <c r="AC36" i="27" s="1"/>
  <c r="AE14" i="27"/>
  <c r="Y9" i="27"/>
  <c r="AB9" i="27"/>
  <c r="AD9" i="27" s="1"/>
  <c r="X24" i="27"/>
  <c r="AC19" i="27"/>
  <c r="AF19" i="27" s="1"/>
  <c r="X3" i="27"/>
  <c r="Y35" i="27"/>
  <c r="AB35" i="27"/>
  <c r="AD35" i="27" s="1"/>
  <c r="AC35" i="27"/>
  <c r="AF35" i="27" s="1"/>
  <c r="AH31" i="27"/>
  <c r="X36" i="27"/>
  <c r="AE4" i="27"/>
  <c r="AH13" i="27"/>
  <c r="W24" i="27"/>
  <c r="AB24" i="27" s="1"/>
  <c r="AD24" i="27" s="1"/>
  <c r="AE12" i="27"/>
  <c r="AI21" i="27"/>
  <c r="AI31" i="27"/>
  <c r="AI9" i="27"/>
  <c r="AH23" i="27"/>
  <c r="AI30" i="27"/>
  <c r="AH18" i="27"/>
  <c r="AI20" i="27"/>
  <c r="AI18" i="27"/>
  <c r="AI19" i="27"/>
  <c r="AI6" i="27"/>
  <c r="AI36" i="27"/>
  <c r="AI23" i="27"/>
  <c r="AI35" i="27"/>
  <c r="AI13" i="27"/>
  <c r="AI28" i="27"/>
  <c r="AC17" i="27"/>
  <c r="AB17" i="27"/>
  <c r="AD17" i="27" s="1"/>
  <c r="Z17" i="27"/>
  <c r="AC11" i="27"/>
  <c r="Y11" i="27"/>
  <c r="AB11" i="27"/>
  <c r="AD11" i="27" s="1"/>
  <c r="Z11" i="27"/>
  <c r="AI17" i="27"/>
  <c r="AC25" i="27"/>
  <c r="AB25" i="27"/>
  <c r="AD25" i="27" s="1"/>
  <c r="Z25" i="27"/>
  <c r="AG13" i="27"/>
  <c r="AF13" i="27"/>
  <c r="AB10" i="27"/>
  <c r="AD10" i="27" s="1"/>
  <c r="AC10" i="27"/>
  <c r="Z10" i="27"/>
  <c r="AH20" i="27"/>
  <c r="AC21" i="27"/>
  <c r="AB21" i="27"/>
  <c r="AD21" i="27" s="1"/>
  <c r="Z21" i="27"/>
  <c r="AF22" i="27"/>
  <c r="AG22" i="27"/>
  <c r="AB12" i="27"/>
  <c r="AD12" i="27" s="1"/>
  <c r="AC12" i="27"/>
  <c r="Y12" i="27"/>
  <c r="Z12" i="27"/>
  <c r="AC28" i="27"/>
  <c r="AB28" i="27"/>
  <c r="AD28" i="27" s="1"/>
  <c r="Z28" i="27"/>
  <c r="AB6" i="27"/>
  <c r="AD6" i="27" s="1"/>
  <c r="Y6" i="27"/>
  <c r="AC6" i="27"/>
  <c r="Z6" i="27"/>
  <c r="AC5" i="27"/>
  <c r="Y5" i="27"/>
  <c r="AB5" i="27"/>
  <c r="AD5" i="27" s="1"/>
  <c r="Z5" i="27"/>
  <c r="AB8" i="27"/>
  <c r="AD8" i="27" s="1"/>
  <c r="AC8" i="27"/>
  <c r="Y8" i="27"/>
  <c r="Z8" i="27"/>
  <c r="AC7" i="27"/>
  <c r="AB7" i="27"/>
  <c r="AD7" i="27" s="1"/>
  <c r="Z7" i="27"/>
  <c r="AC32" i="27"/>
  <c r="Y32" i="27"/>
  <c r="AB32" i="27"/>
  <c r="AD32" i="27" s="1"/>
  <c r="Z32" i="27"/>
  <c r="AB14" i="27"/>
  <c r="AD14" i="27" s="1"/>
  <c r="AC14" i="27"/>
  <c r="Z14" i="27"/>
  <c r="AC15" i="27"/>
  <c r="Y15" i="27"/>
  <c r="AB15" i="27"/>
  <c r="AD15" i="27" s="1"/>
  <c r="Z15" i="27"/>
  <c r="AI10" i="27"/>
  <c r="AC29" i="27"/>
  <c r="Y29" i="27"/>
  <c r="AB29" i="27"/>
  <c r="AD29" i="27" s="1"/>
  <c r="Z29" i="27"/>
  <c r="Z36" i="27"/>
  <c r="AI29" i="27"/>
  <c r="AI5" i="27"/>
  <c r="AI8" i="27"/>
  <c r="AG31" i="27"/>
  <c r="AF31" i="27"/>
  <c r="AC33" i="27"/>
  <c r="Y33" i="27"/>
  <c r="AB33" i="27"/>
  <c r="AD33" i="27" s="1"/>
  <c r="Z33" i="27"/>
  <c r="AC16" i="27"/>
  <c r="Y16" i="27"/>
  <c r="AB16" i="27"/>
  <c r="AD16" i="27" s="1"/>
  <c r="Z16" i="27"/>
  <c r="AG23" i="27"/>
  <c r="AF23" i="27"/>
  <c r="AI33" i="27"/>
  <c r="T19" i="26"/>
  <c r="S18" i="26"/>
  <c r="X18" i="26" s="1"/>
  <c r="S8" i="26"/>
  <c r="X8" i="26" s="1"/>
  <c r="T5" i="26"/>
  <c r="U5" i="26" s="1"/>
  <c r="S12" i="26"/>
  <c r="X12" i="26" s="1"/>
  <c r="U20" i="26"/>
  <c r="AE13" i="26"/>
  <c r="U17" i="26"/>
  <c r="S4" i="26"/>
  <c r="X4" i="26" s="1"/>
  <c r="S14" i="26"/>
  <c r="X14" i="26" s="1"/>
  <c r="AE7" i="26"/>
  <c r="U21" i="26"/>
  <c r="AC36" i="26"/>
  <c r="AE16" i="26"/>
  <c r="AE25" i="26"/>
  <c r="O4" i="26"/>
  <c r="T4" i="26" s="1"/>
  <c r="Y19" i="26"/>
  <c r="AB19" i="26" s="1"/>
  <c r="X19" i="26"/>
  <c r="Z19" i="26" s="1"/>
  <c r="AE21" i="26"/>
  <c r="X22" i="26"/>
  <c r="Z22" i="26" s="1"/>
  <c r="V9" i="26"/>
  <c r="X9" i="26"/>
  <c r="Z9" i="26" s="1"/>
  <c r="X29" i="26"/>
  <c r="Z29" i="26" s="1"/>
  <c r="V29" i="26"/>
  <c r="O18" i="26"/>
  <c r="T18" i="26" s="1"/>
  <c r="AE20" i="26"/>
  <c r="V26" i="26"/>
  <c r="X26" i="26"/>
  <c r="Z26" i="26" s="1"/>
  <c r="AE22" i="26"/>
  <c r="U29" i="26"/>
  <c r="X10" i="26"/>
  <c r="Z10" i="26" s="1"/>
  <c r="X31" i="26"/>
  <c r="Z31" i="26" s="1"/>
  <c r="Y31" i="26"/>
  <c r="V31" i="26"/>
  <c r="X35" i="26"/>
  <c r="Z35" i="26" s="1"/>
  <c r="Y35" i="26"/>
  <c r="V35" i="26"/>
  <c r="Y10" i="26"/>
  <c r="AE26" i="26"/>
  <c r="V16" i="26"/>
  <c r="X16" i="26"/>
  <c r="Z16" i="26" s="1"/>
  <c r="X27" i="26"/>
  <c r="Z27" i="26" s="1"/>
  <c r="V27" i="26"/>
  <c r="Y27" i="26"/>
  <c r="AE3" i="26"/>
  <c r="AB34" i="26"/>
  <c r="AC34" i="26"/>
  <c r="U33" i="26"/>
  <c r="Y33" i="26"/>
  <c r="Z33" i="26"/>
  <c r="V33" i="26"/>
  <c r="AB29" i="26"/>
  <c r="Z30" i="26"/>
  <c r="U30" i="26"/>
  <c r="Y30" i="26"/>
  <c r="V30" i="26"/>
  <c r="V22" i="26"/>
  <c r="U22" i="26"/>
  <c r="Y22" i="26"/>
  <c r="Y26" i="26"/>
  <c r="AB26" i="26" s="1"/>
  <c r="U19" i="26"/>
  <c r="U26" i="26"/>
  <c r="U10" i="26"/>
  <c r="U16" i="26"/>
  <c r="U3" i="26"/>
  <c r="Y3" i="26"/>
  <c r="AB3" i="26" s="1"/>
  <c r="V10" i="26"/>
  <c r="V19" i="26"/>
  <c r="V3" i="26"/>
  <c r="Z3" i="26"/>
  <c r="U9" i="26"/>
  <c r="Y9" i="26"/>
  <c r="AB9" i="26" s="1"/>
  <c r="O12" i="26"/>
  <c r="T12" i="26" s="1"/>
  <c r="O8" i="26"/>
  <c r="O14" i="26"/>
  <c r="T14" i="26" s="1"/>
  <c r="Z24" i="26"/>
  <c r="V24" i="26"/>
  <c r="Y24" i="26"/>
  <c r="AA12" i="26"/>
  <c r="AG12" i="26" s="1"/>
  <c r="U11" i="26"/>
  <c r="Y11" i="26"/>
  <c r="V11" i="26"/>
  <c r="Z11" i="26"/>
  <c r="AA8" i="26"/>
  <c r="AG8" i="26" s="1"/>
  <c r="AA14" i="26"/>
  <c r="AA4" i="26"/>
  <c r="AA18" i="26"/>
  <c r="AG18" i="26" s="1"/>
  <c r="V23" i="26"/>
  <c r="Z23" i="26"/>
  <c r="U23" i="26"/>
  <c r="Y23" i="26"/>
  <c r="Z15" i="26"/>
  <c r="U15" i="26"/>
  <c r="Y15" i="26"/>
  <c r="V15" i="26"/>
  <c r="U24" i="26"/>
  <c r="AC21" i="26"/>
  <c r="AB21" i="26"/>
  <c r="AC25" i="26"/>
  <c r="AB25" i="26"/>
  <c r="AB13" i="26"/>
  <c r="AB16" i="26"/>
  <c r="AB20" i="26"/>
  <c r="AC20" i="26"/>
  <c r="AC7" i="26"/>
  <c r="AB7" i="26"/>
  <c r="AC6" i="26"/>
  <c r="AB6" i="26"/>
  <c r="AB5" i="26"/>
  <c r="AC5" i="26"/>
  <c r="X28" i="27" l="1"/>
  <c r="Y28" i="27" s="1"/>
  <c r="AB26" i="27"/>
  <c r="AD26" i="27" s="1"/>
  <c r="AG4" i="26"/>
  <c r="Y26" i="27"/>
  <c r="AI11" i="27"/>
  <c r="X7" i="27"/>
  <c r="Y7" i="27" s="1"/>
  <c r="Z26" i="27"/>
  <c r="AC17" i="26"/>
  <c r="AI3" i="27"/>
  <c r="AI25" i="27"/>
  <c r="AG14" i="26"/>
  <c r="AG18" i="27"/>
  <c r="AH19" i="27"/>
  <c r="AC20" i="27"/>
  <c r="AI38" i="27"/>
  <c r="AI7" i="27"/>
  <c r="AK34" i="27"/>
  <c r="AH14" i="27"/>
  <c r="AJ14" i="27"/>
  <c r="AH7" i="27"/>
  <c r="AJ7" i="27"/>
  <c r="AH5" i="27"/>
  <c r="AJ5" i="27"/>
  <c r="AH28" i="27"/>
  <c r="AJ28" i="27"/>
  <c r="AH10" i="27"/>
  <c r="AJ10" i="27"/>
  <c r="AH25" i="27"/>
  <c r="AJ25" i="27"/>
  <c r="AH11" i="27"/>
  <c r="AJ11" i="27"/>
  <c r="AH17" i="27"/>
  <c r="AJ17" i="27"/>
  <c r="AI12" i="27"/>
  <c r="AK12" i="27"/>
  <c r="AI4" i="27"/>
  <c r="AK4" i="27"/>
  <c r="AH35" i="27"/>
  <c r="AJ35" i="27"/>
  <c r="AI14" i="27"/>
  <c r="AK14" i="27"/>
  <c r="AH39" i="27"/>
  <c r="AJ39" i="27"/>
  <c r="Y20" i="27"/>
  <c r="AK23" i="27"/>
  <c r="AK5" i="27"/>
  <c r="AK33" i="27"/>
  <c r="AK22" i="27"/>
  <c r="AH26" i="27"/>
  <c r="AJ26" i="27"/>
  <c r="AI42" i="27"/>
  <c r="AK42" i="27"/>
  <c r="AI37" i="27"/>
  <c r="AK37" i="27"/>
  <c r="Z34" i="27"/>
  <c r="AB34" i="27"/>
  <c r="AD34" i="27" s="1"/>
  <c r="AJ34" i="27" s="1"/>
  <c r="AC34" i="27"/>
  <c r="AH29" i="27"/>
  <c r="AJ29" i="27"/>
  <c r="AH32" i="27"/>
  <c r="AJ32" i="27"/>
  <c r="AH8" i="27"/>
  <c r="AJ8" i="27"/>
  <c r="AH6" i="27"/>
  <c r="AJ6" i="27"/>
  <c r="AH12" i="27"/>
  <c r="AJ12" i="27"/>
  <c r="AH21" i="27"/>
  <c r="AJ21" i="27"/>
  <c r="AH24" i="27"/>
  <c r="AJ24" i="27"/>
  <c r="AH9" i="27"/>
  <c r="AJ9" i="27"/>
  <c r="AH27" i="27"/>
  <c r="AJ27" i="27"/>
  <c r="AH40" i="27"/>
  <c r="AJ40" i="27"/>
  <c r="AH44" i="27"/>
  <c r="AJ44" i="27"/>
  <c r="AK39" i="27"/>
  <c r="AK17" i="27"/>
  <c r="AH16" i="27"/>
  <c r="AJ16" i="27"/>
  <c r="AH33" i="27"/>
  <c r="AJ33" i="27"/>
  <c r="AH15" i="27"/>
  <c r="AJ15" i="27"/>
  <c r="AI43" i="27"/>
  <c r="AK43" i="27"/>
  <c r="AD15" i="26"/>
  <c r="AF15" i="26"/>
  <c r="AD24" i="26"/>
  <c r="AF24" i="26"/>
  <c r="AD9" i="26"/>
  <c r="AF9" i="26"/>
  <c r="AD30" i="26"/>
  <c r="AF30" i="26"/>
  <c r="AD16" i="26"/>
  <c r="AF16" i="26"/>
  <c r="AD11" i="26"/>
  <c r="AF11" i="26"/>
  <c r="AD31" i="26"/>
  <c r="AF31" i="26"/>
  <c r="AD26" i="26"/>
  <c r="AF26" i="26"/>
  <c r="AD22" i="26"/>
  <c r="AF22" i="26"/>
  <c r="AD3" i="26"/>
  <c r="AF3" i="26"/>
  <c r="AD35" i="26"/>
  <c r="AF35" i="26"/>
  <c r="AD10" i="26"/>
  <c r="AF10" i="26"/>
  <c r="AD29" i="26"/>
  <c r="AF29" i="26"/>
  <c r="AD23" i="26"/>
  <c r="AF23" i="26"/>
  <c r="AD33" i="26"/>
  <c r="AF33" i="26"/>
  <c r="AD27" i="26"/>
  <c r="AF27" i="26"/>
  <c r="AD19" i="26"/>
  <c r="AF19" i="26"/>
  <c r="Y41" i="27"/>
  <c r="AG30" i="27"/>
  <c r="AI34" i="27"/>
  <c r="AC42" i="27"/>
  <c r="AB42" i="27"/>
  <c r="AD42" i="27" s="1"/>
  <c r="Z42" i="27"/>
  <c r="Y42" i="27"/>
  <c r="Z41" i="27"/>
  <c r="AB41" i="27"/>
  <c r="AD41" i="27" s="1"/>
  <c r="AC41" i="27"/>
  <c r="Y38" i="27"/>
  <c r="AI41" i="27"/>
  <c r="AG9" i="27"/>
  <c r="AH34" i="27"/>
  <c r="Y37" i="27"/>
  <c r="Z43" i="27"/>
  <c r="AB43" i="27"/>
  <c r="AD43" i="27" s="1"/>
  <c r="Y43" i="27"/>
  <c r="AC43" i="27"/>
  <c r="AC38" i="27"/>
  <c r="AB38" i="27"/>
  <c r="AD38" i="27" s="1"/>
  <c r="Z38" i="27"/>
  <c r="AC37" i="27"/>
  <c r="AB37" i="27"/>
  <c r="AD37" i="27" s="1"/>
  <c r="Z37" i="27"/>
  <c r="AE4" i="26"/>
  <c r="AC22" i="26"/>
  <c r="AC29" i="26"/>
  <c r="AE18" i="26"/>
  <c r="AC10" i="26"/>
  <c r="AF40" i="27"/>
  <c r="AG40" i="27"/>
  <c r="AF44" i="27"/>
  <c r="AG44" i="27"/>
  <c r="AG39" i="27"/>
  <c r="AF39" i="27"/>
  <c r="AB36" i="27"/>
  <c r="AD36" i="27" s="1"/>
  <c r="AG27" i="27"/>
  <c r="AG19" i="27"/>
  <c r="Y36" i="27"/>
  <c r="Y3" i="27"/>
  <c r="Y24" i="27"/>
  <c r="AC24" i="27"/>
  <c r="AG24" i="27" s="1"/>
  <c r="Z24" i="27"/>
  <c r="AB3" i="27"/>
  <c r="AD3" i="27" s="1"/>
  <c r="AC3" i="27"/>
  <c r="AF3" i="27" s="1"/>
  <c r="X22" i="27"/>
  <c r="Y22" i="27" s="1"/>
  <c r="AI22" i="27"/>
  <c r="AH22" i="27"/>
  <c r="AG26" i="27"/>
  <c r="AG35" i="27"/>
  <c r="AC4" i="27"/>
  <c r="AB4" i="27"/>
  <c r="AD4" i="27" s="1"/>
  <c r="Z4" i="27"/>
  <c r="Y4" i="27"/>
  <c r="Z3" i="27"/>
  <c r="AG16" i="27"/>
  <c r="AF16" i="27"/>
  <c r="AG33" i="27"/>
  <c r="AF33" i="27"/>
  <c r="AG15" i="27"/>
  <c r="AF15" i="27"/>
  <c r="AG32" i="27"/>
  <c r="AF32" i="27"/>
  <c r="AF12" i="27"/>
  <c r="AG12" i="27"/>
  <c r="AG25" i="27"/>
  <c r="AF25" i="27"/>
  <c r="AF36" i="27"/>
  <c r="AG29" i="27"/>
  <c r="AF29" i="27"/>
  <c r="AG28" i="27"/>
  <c r="AF28" i="27"/>
  <c r="AG21" i="27"/>
  <c r="AF21" i="27"/>
  <c r="AF10" i="27"/>
  <c r="AG10" i="27"/>
  <c r="AG11" i="27"/>
  <c r="AF11" i="27"/>
  <c r="AF14" i="27"/>
  <c r="AG14" i="27"/>
  <c r="AF8" i="27"/>
  <c r="AG8" i="27"/>
  <c r="AG7" i="27"/>
  <c r="AF7" i="27"/>
  <c r="AG5" i="27"/>
  <c r="AF5" i="27"/>
  <c r="AF6" i="27"/>
  <c r="AG6" i="27"/>
  <c r="AF24" i="27"/>
  <c r="AG17" i="27"/>
  <c r="AF17" i="27"/>
  <c r="T8" i="26"/>
  <c r="U8" i="26" s="1"/>
  <c r="AB10" i="26"/>
  <c r="AB27" i="26"/>
  <c r="AC27" i="26"/>
  <c r="AB31" i="26"/>
  <c r="AC31" i="26"/>
  <c r="AC35" i="26"/>
  <c r="AB35" i="26"/>
  <c r="AC33" i="26"/>
  <c r="AB33" i="26"/>
  <c r="AB30" i="26"/>
  <c r="AC30" i="26"/>
  <c r="AB22" i="26"/>
  <c r="AC16" i="26"/>
  <c r="AE12" i="26"/>
  <c r="AC9" i="26"/>
  <c r="AC26" i="26"/>
  <c r="AC3" i="26"/>
  <c r="AE14" i="26"/>
  <c r="AE8" i="26"/>
  <c r="AC19" i="26"/>
  <c r="Z4" i="26"/>
  <c r="V4" i="26"/>
  <c r="U4" i="26"/>
  <c r="Y4" i="26"/>
  <c r="V8" i="26"/>
  <c r="Y8" i="26"/>
  <c r="Z8" i="26"/>
  <c r="AB11" i="26"/>
  <c r="AC11" i="26"/>
  <c r="AB24" i="26"/>
  <c r="AC24" i="26"/>
  <c r="AC15" i="26"/>
  <c r="AB15" i="26"/>
  <c r="AC23" i="26"/>
  <c r="AB23" i="26"/>
  <c r="Y18" i="26"/>
  <c r="Z18" i="26"/>
  <c r="V18" i="26"/>
  <c r="U18" i="26"/>
  <c r="U14" i="26"/>
  <c r="Y14" i="26"/>
  <c r="V14" i="26"/>
  <c r="Z14" i="26"/>
  <c r="Y12" i="26"/>
  <c r="V12" i="26"/>
  <c r="Z12" i="26"/>
  <c r="U12" i="26"/>
  <c r="AG36" i="27" l="1"/>
  <c r="AF20" i="27"/>
  <c r="AG20" i="27"/>
  <c r="AF34" i="27"/>
  <c r="AG34" i="27"/>
  <c r="AH4" i="27"/>
  <c r="AJ4" i="27"/>
  <c r="AH3" i="27"/>
  <c r="AJ3" i="27"/>
  <c r="AH36" i="27"/>
  <c r="AJ36" i="27"/>
  <c r="AH38" i="27"/>
  <c r="AJ38" i="27"/>
  <c r="AH43" i="27"/>
  <c r="AJ43" i="27"/>
  <c r="AH41" i="27"/>
  <c r="AJ41" i="27"/>
  <c r="AH42" i="27"/>
  <c r="AJ42" i="27"/>
  <c r="AH37" i="27"/>
  <c r="AJ37" i="27"/>
  <c r="AD14" i="26"/>
  <c r="AF14" i="26"/>
  <c r="AD8" i="26"/>
  <c r="AF8" i="26"/>
  <c r="AD12" i="26"/>
  <c r="AF12" i="26"/>
  <c r="AD18" i="26"/>
  <c r="AF18" i="26"/>
  <c r="AD4" i="26"/>
  <c r="AF4" i="26"/>
  <c r="AF38" i="27"/>
  <c r="AG38" i="27"/>
  <c r="AF42" i="27"/>
  <c r="AG42" i="27"/>
  <c r="AF37" i="27"/>
  <c r="AG37" i="27"/>
  <c r="AF43" i="27"/>
  <c r="AG43" i="27"/>
  <c r="AF41" i="27"/>
  <c r="AG41" i="27"/>
  <c r="AG3" i="27"/>
  <c r="AF4" i="27"/>
  <c r="AG4" i="27"/>
  <c r="AC12" i="26"/>
  <c r="AB12" i="26"/>
  <c r="AC18" i="26"/>
  <c r="AB18" i="26"/>
  <c r="AB4" i="26"/>
  <c r="AC4" i="26"/>
  <c r="AB8" i="26"/>
  <c r="AC8" i="26"/>
  <c r="AB14" i="26"/>
  <c r="AC14" i="26"/>
</calcChain>
</file>

<file path=xl/sharedStrings.xml><?xml version="1.0" encoding="utf-8"?>
<sst xmlns="http://schemas.openxmlformats.org/spreadsheetml/2006/main" count="1181" uniqueCount="60">
  <si>
    <t>Ga</t>
  </si>
  <si>
    <t>Bn</t>
  </si>
  <si>
    <r>
      <t>h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/r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</si>
  <si>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rPr>
        <b/>
        <sz val="11"/>
        <color theme="1"/>
        <rFont val="Symbol"/>
        <family val="1"/>
        <charset val="2"/>
      </rPr>
      <t>r</t>
    </r>
    <r>
      <rPr>
        <b/>
        <sz val="11"/>
        <color theme="1"/>
        <rFont val="Calibri"/>
        <family val="2"/>
        <scheme val="minor"/>
      </rPr>
      <t>*g*h</t>
    </r>
    <r>
      <rPr>
        <b/>
        <vertAlign val="subscript"/>
        <sz val="11"/>
        <color theme="1"/>
        <rFont val="Calibri"/>
        <family val="2"/>
        <scheme val="minor"/>
      </rPr>
      <t xml:space="preserve">0 </t>
    </r>
    <r>
      <rPr>
        <b/>
        <sz val="11"/>
        <color theme="1"/>
        <rFont val="Calibri"/>
        <family val="2"/>
        <scheme val="minor"/>
      </rPr>
      <t>[Pa]</t>
    </r>
  </si>
  <si>
    <r>
      <rPr>
        <b/>
        <sz val="11"/>
        <color theme="1"/>
        <rFont val="Symbol"/>
        <family val="1"/>
        <charset val="2"/>
      </rPr>
      <t>t</t>
    </r>
    <r>
      <rPr>
        <b/>
        <vertAlign val="subscript"/>
        <sz val="11"/>
        <color theme="1"/>
        <rFont val="Calibri"/>
        <family val="2"/>
        <scheme val="minor"/>
      </rPr>
      <t xml:space="preserve">0 </t>
    </r>
    <r>
      <rPr>
        <b/>
        <sz val="11"/>
        <color theme="1"/>
        <rFont val="Calibri"/>
        <family val="2"/>
        <scheme val="minor"/>
      </rPr>
      <t>[Pa]</t>
    </r>
  </si>
  <si>
    <r>
      <t>[(1/Bn)*(h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/r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)]</t>
    </r>
    <r>
      <rPr>
        <b/>
        <vertAlign val="superscript"/>
        <sz val="11"/>
        <color theme="1"/>
        <rFont val="Calibri"/>
        <family val="2"/>
        <scheme val="minor"/>
      </rPr>
      <t>1/3</t>
    </r>
  </si>
  <si>
    <t>g [m/s²]</t>
  </si>
  <si>
    <t>k [Pa s]</t>
  </si>
  <si>
    <r>
      <rPr>
        <b/>
        <sz val="11"/>
        <color theme="1"/>
        <rFont val="Symbol"/>
        <family val="1"/>
        <charset val="2"/>
      </rPr>
      <t>r</t>
    </r>
    <r>
      <rPr>
        <b/>
        <sz val="11"/>
        <color theme="1"/>
        <rFont val="Calibri"/>
        <family val="2"/>
        <scheme val="minor"/>
      </rPr>
      <t xml:space="preserve"> [kg/m³]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</si>
  <si>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 xml:space="preserve">0 </t>
    </r>
    <r>
      <rPr>
        <b/>
        <sz val="11"/>
        <color theme="1"/>
        <rFont val="Calibri"/>
        <family val="2"/>
        <scheme val="minor"/>
      </rPr>
      <t>[m]</t>
    </r>
  </si>
  <si>
    <r>
      <t>U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[m/s]</t>
    </r>
  </si>
  <si>
    <t>Re</t>
  </si>
  <si>
    <t>Fr</t>
  </si>
  <si>
    <r>
      <rPr>
        <b/>
        <sz val="11"/>
        <color theme="1"/>
        <rFont val="Symbol"/>
        <family val="1"/>
        <charset val="2"/>
      </rPr>
      <t>r</t>
    </r>
    <r>
      <rPr>
        <b/>
        <sz val="11"/>
        <color theme="1"/>
        <rFont val="Calibri"/>
        <family val="2"/>
        <scheme val="minor"/>
      </rPr>
      <t>*U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vertAlign val="sub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[Pa]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</si>
  <si>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 xml:space="preserve">0 </t>
    </r>
    <r>
      <rPr>
        <b/>
        <sz val="11"/>
        <color theme="1"/>
        <rFont val="Calibri"/>
        <family val="2"/>
        <scheme val="minor"/>
      </rPr>
      <t>[m]</t>
    </r>
  </si>
  <si>
    <r>
      <t>U</t>
    </r>
    <r>
      <rPr>
        <b/>
        <vertAlign val="subscript"/>
        <sz val="11"/>
        <color theme="1"/>
        <rFont val="Calibri"/>
        <family val="2"/>
        <scheme val="minor"/>
      </rPr>
      <t>cr</t>
    </r>
    <r>
      <rPr>
        <b/>
        <sz val="11"/>
        <color theme="1"/>
        <rFont val="Calibri"/>
        <family val="2"/>
        <scheme val="minor"/>
      </rPr>
      <t xml:space="preserve"> [m/s]</t>
    </r>
  </si>
  <si>
    <r>
      <t>U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/U</t>
    </r>
    <r>
      <rPr>
        <b/>
        <vertAlign val="subscript"/>
        <sz val="11"/>
        <color theme="1"/>
        <rFont val="Calibri"/>
        <family val="2"/>
        <scheme val="minor"/>
      </rPr>
      <t>cr</t>
    </r>
    <r>
      <rPr>
        <b/>
        <sz val="11"/>
        <color theme="1"/>
        <rFont val="Calibri"/>
        <family val="2"/>
        <scheme val="minor"/>
      </rPr>
      <t xml:space="preserve"> [m/s]</t>
    </r>
  </si>
  <si>
    <r>
      <t>t</t>
    </r>
    <r>
      <rPr>
        <b/>
        <vertAlign val="subscript"/>
        <sz val="11"/>
        <color theme="1"/>
        <rFont val="Times New Roman"/>
        <family val="1"/>
      </rPr>
      <t>c</t>
    </r>
    <r>
      <rPr>
        <b/>
        <sz val="11"/>
        <color theme="1"/>
        <rFont val="Times New Roman"/>
        <family val="1"/>
      </rPr>
      <t xml:space="preserve"> [s]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</si>
  <si>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/h</t>
    </r>
    <r>
      <rPr>
        <b/>
        <vertAlign val="subscript"/>
        <sz val="11"/>
        <color theme="1"/>
        <rFont val="Calibri"/>
        <family val="2"/>
        <scheme val="minor"/>
      </rPr>
      <t>0</t>
    </r>
  </si>
  <si>
    <t>m</t>
  </si>
  <si>
    <r>
      <t>[Ga*(h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/r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)]</t>
    </r>
    <r>
      <rPr>
        <b/>
        <vertAlign val="superscript"/>
        <sz val="11"/>
        <color theme="1"/>
        <rFont val="Calibri"/>
        <family val="2"/>
        <scheme val="minor"/>
      </rPr>
      <t>1/(2m+3)</t>
    </r>
  </si>
  <si>
    <r>
      <t>k(U/h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</t>
    </r>
    <r>
      <rPr>
        <b/>
        <vertAlign val="superscript"/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 xml:space="preserve"> [Pa]</t>
    </r>
  </si>
  <si>
    <t>Experimental results - Figure 19 (Gao and Fourie - 2015)</t>
  </si>
  <si>
    <t>Calculations</t>
  </si>
  <si>
    <r>
      <t>Bn/[(r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/h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)^(2/3)]</t>
    </r>
  </si>
  <si>
    <r>
      <t>(r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/h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)^(2/3)</t>
    </r>
  </si>
  <si>
    <t>Experimental results - Figure 11 (Y. Liu, N.J. Balmforth , S. Hormozi - 2018)</t>
  </si>
  <si>
    <r>
      <t>[(1/Ga)*(1/(h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/r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))]</t>
    </r>
    <r>
      <rPr>
        <b/>
        <vertAlign val="superscript"/>
        <sz val="11"/>
        <color theme="1"/>
        <rFont val="Calibri"/>
        <family val="2"/>
        <scheme val="minor"/>
      </rPr>
      <t>2/(2m+3)</t>
    </r>
  </si>
  <si>
    <r>
      <t>[Bn*(1/(h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/r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))]</t>
    </r>
    <r>
      <rPr>
        <b/>
        <vertAlign val="superscript"/>
        <sz val="11"/>
        <color theme="1"/>
        <rFont val="Calibri"/>
        <family val="2"/>
        <scheme val="minor"/>
      </rPr>
      <t>2/3</t>
    </r>
  </si>
  <si>
    <t>###</t>
  </si>
  <si>
    <t>red mud</t>
  </si>
  <si>
    <t>Zirconia</t>
  </si>
  <si>
    <t>Titania</t>
  </si>
  <si>
    <t>cylinder</t>
  </si>
  <si>
    <t>cone</t>
  </si>
  <si>
    <t>initial shape</t>
  </si>
  <si>
    <t>titanium dioxide pigment suspension + cemented (Cannington) paste</t>
  </si>
  <si>
    <t>material</t>
  </si>
  <si>
    <r>
      <t>r</t>
    </r>
    <r>
      <rPr>
        <b/>
        <vertAlign val="subscript"/>
        <sz val="14"/>
        <color theme="1"/>
        <rFont val="Times New Roman"/>
        <family val="1"/>
      </rPr>
      <t>∞</t>
    </r>
    <r>
      <rPr>
        <b/>
        <sz val="11"/>
        <color theme="1"/>
        <rFont val="Calibri"/>
        <family val="2"/>
        <scheme val="minor"/>
      </rPr>
      <t>/r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</si>
  <si>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r</t>
    </r>
    <r>
      <rPr>
        <b/>
        <vertAlign val="subscript"/>
        <sz val="14"/>
        <color theme="1"/>
        <rFont val="Times New Roman"/>
        <family val="1"/>
      </rPr>
      <t>∞</t>
    </r>
    <r>
      <rPr>
        <b/>
        <sz val="11"/>
        <color theme="1"/>
        <rFont val="Calibri"/>
        <family val="2"/>
        <scheme val="minor"/>
      </rPr>
      <t>/r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- 1</t>
    </r>
  </si>
  <si>
    <r>
      <t>h</t>
    </r>
    <r>
      <rPr>
        <b/>
        <vertAlign val="subscript"/>
        <sz val="14"/>
        <color theme="1"/>
        <rFont val="Times New Roman"/>
        <family val="1"/>
      </rPr>
      <t>∞</t>
    </r>
    <r>
      <rPr>
        <b/>
        <sz val="11"/>
        <color theme="1"/>
        <rFont val="Calibri"/>
        <family val="2"/>
        <scheme val="minor"/>
      </rPr>
      <t>/h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</si>
  <si>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1 - h</t>
    </r>
    <r>
      <rPr>
        <b/>
        <vertAlign val="subscript"/>
        <sz val="14"/>
        <color theme="1"/>
        <rFont val="Times New Roman"/>
        <family val="1"/>
      </rPr>
      <t>∞</t>
    </r>
    <r>
      <rPr>
        <b/>
        <sz val="11"/>
        <color theme="1"/>
        <rFont val="Calibri"/>
        <family val="2"/>
        <scheme val="minor"/>
      </rPr>
      <t>/h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</si>
  <si>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r</t>
    </r>
    <r>
      <rPr>
        <b/>
        <vertAlign val="subscript"/>
        <sz val="14"/>
        <color theme="1"/>
        <rFont val="Times New Roman"/>
        <family val="1"/>
      </rPr>
      <t>∞</t>
    </r>
  </si>
  <si>
    <r>
      <t>h</t>
    </r>
    <r>
      <rPr>
        <b/>
        <vertAlign val="subscript"/>
        <sz val="14"/>
        <color theme="1"/>
        <rFont val="Times New Roman"/>
        <family val="1"/>
      </rPr>
      <t>∞</t>
    </r>
  </si>
  <si>
    <r>
      <t>r</t>
    </r>
    <r>
      <rPr>
        <b/>
        <vertAlign val="subscript"/>
        <sz val="14"/>
        <color theme="1"/>
        <rFont val="Times New Roman"/>
        <family val="1"/>
      </rPr>
      <t>∞</t>
    </r>
    <r>
      <rPr>
        <b/>
        <sz val="11"/>
        <color theme="1"/>
        <rFont val="Calibri"/>
        <family val="2"/>
        <scheme val="minor"/>
      </rPr>
      <t>/h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</si>
  <si>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(r</t>
    </r>
    <r>
      <rPr>
        <b/>
        <vertAlign val="subscript"/>
        <sz val="20"/>
        <color theme="1"/>
        <rFont val="Times New Roman"/>
        <family val="1"/>
      </rPr>
      <t>∞</t>
    </r>
    <r>
      <rPr>
        <b/>
        <sz val="11"/>
        <color theme="1"/>
        <rFont val="Calibri"/>
        <family val="2"/>
        <scheme val="minor"/>
      </rPr>
      <t>/h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)/[(r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/h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)^(2/3)]</t>
    </r>
  </si>
  <si>
    <r>
      <t>(h</t>
    </r>
    <r>
      <rPr>
        <b/>
        <vertAlign val="subscript"/>
        <sz val="20"/>
        <color theme="1"/>
        <rFont val="Times New Roman"/>
        <family val="1"/>
      </rPr>
      <t>∞</t>
    </r>
    <r>
      <rPr>
        <b/>
        <sz val="11"/>
        <color theme="1"/>
        <rFont val="Calibri"/>
        <family val="2"/>
        <scheme val="minor"/>
      </rPr>
      <t>/h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)/[(r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/h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)^(2/3)]</t>
    </r>
  </si>
  <si>
    <t>Carbopol</t>
  </si>
  <si>
    <t>Experimental results - Figure 5 (S. Clayton, T. G. Grice, D. V. Boger - 2003)</t>
  </si>
  <si>
    <t>Experimental results - Figure 8 (A. W. Saak, H. M. Jennings, S. P. Shah - 2004)</t>
  </si>
  <si>
    <t>Experiment results - Figure 5b (N. Roussel, P. Coussot - 2005)</t>
  </si>
  <si>
    <t>cement pastes and grouts and limestone powder suspension</t>
  </si>
  <si>
    <t>Experimental results - Figure 6 (N. Pashias, D. V. Boger, J. Summers, D. J. Glenister - 1996)</t>
  </si>
  <si>
    <t>tailings (paste)</t>
  </si>
  <si>
    <t>Expperiment results - Figure 4 (A. Pierre, C. Lanos, P. Estellé - 2013)</t>
  </si>
  <si>
    <t>cement paste</t>
  </si>
  <si>
    <t>cylinder and cone</t>
  </si>
  <si>
    <t>Mayonnaise 1</t>
  </si>
  <si>
    <t>Mayonnaise 2</t>
  </si>
  <si>
    <t>Ketchup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</si>
</sst>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b/>
      <vertAlign val="subscript"/>
      <sz val="14"/>
      <color theme="1"/>
      <name val="Times New Roman"/>
      <family val="1"/>
    </font>
    <font>
      <b/>
      <vertAlign val="subscript"/>
      <sz val="2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3" xfId="0" applyBorder="1"/>
    <xf numFmtId="0" fontId="0" fillId="0" borderId="4" xfId="0" applyBorder="1"/>
    <xf numFmtId="0" fontId="3" fillId="0" borderId="4" xfId="1" applyFont="1" applyFill="1" applyBorder="1"/>
    <xf numFmtId="0" fontId="0" fillId="0" borderId="7" xfId="0" applyBorder="1"/>
    <xf numFmtId="0" fontId="0" fillId="0" borderId="8" xfId="0" applyBorder="1"/>
    <xf numFmtId="0" fontId="1" fillId="2" borderId="1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4" xfId="0" applyFill="1" applyBorder="1"/>
    <xf numFmtId="0" fontId="2" fillId="0" borderId="3" xfId="1" applyFont="1" applyFill="1" applyBorder="1"/>
    <xf numFmtId="0" fontId="0" fillId="0" borderId="0" xfId="0" applyFill="1" applyBorder="1"/>
    <xf numFmtId="0" fontId="3" fillId="0" borderId="0" xfId="1" applyFont="1" applyFill="1" applyBorder="1"/>
    <xf numFmtId="0" fontId="0" fillId="3" borderId="4" xfId="0" applyFill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Border="1"/>
    <xf numFmtId="0" fontId="7" fillId="2" borderId="5" xfId="0" applyFont="1" applyFill="1" applyBorder="1" applyAlignment="1">
      <alignment horizontal="center" vertical="center"/>
    </xf>
    <xf numFmtId="0" fontId="0" fillId="0" borderId="0" xfId="0"/>
    <xf numFmtId="0" fontId="1" fillId="5" borderId="1" xfId="0" applyFont="1" applyFill="1" applyBorder="1" applyAlignment="1">
      <alignment horizontal="center" vertical="center"/>
    </xf>
    <xf numFmtId="0" fontId="2" fillId="0" borderId="4" xfId="1" applyFont="1" applyFill="1" applyBorder="1"/>
    <xf numFmtId="0" fontId="0" fillId="3" borderId="3" xfId="0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4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</cellXfs>
  <cellStyles count="2">
    <cellStyle name="Normal" xfId="0" builtinId="0"/>
    <cellStyle name="Normal_present_work_3D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45"/>
  <sheetViews>
    <sheetView tabSelected="1" workbookViewId="0">
      <selection activeCell="A2" sqref="A2"/>
    </sheetView>
  </sheetViews>
  <sheetFormatPr baseColWidth="10" defaultColWidth="8.88671875" defaultRowHeight="14.4" x14ac:dyDescent="0.3"/>
  <cols>
    <col min="1" max="1" width="13.33203125" style="16" bestFit="1" customWidth="1"/>
    <col min="3" max="3" width="9.5546875" bestFit="1" customWidth="1"/>
    <col min="11" max="12" width="9.109375" style="16"/>
    <col min="14" max="15" width="12" bestFit="1" customWidth="1"/>
    <col min="17" max="17" width="11.109375" bestFit="1" customWidth="1"/>
    <col min="18" max="18" width="12.6640625" bestFit="1" customWidth="1"/>
    <col min="19" max="19" width="12" bestFit="1" customWidth="1"/>
    <col min="24" max="24" width="17" bestFit="1" customWidth="1"/>
    <col min="25" max="25" width="16.6640625" bestFit="1" customWidth="1"/>
    <col min="26" max="26" width="23.88671875" bestFit="1" customWidth="1"/>
    <col min="27" max="27" width="16.6640625" bestFit="1" customWidth="1"/>
  </cols>
  <sheetData>
    <row r="1" spans="1:27" ht="15" thickBot="1" x14ac:dyDescent="0.35">
      <c r="A1" s="33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20.399999999999999" thickBot="1" x14ac:dyDescent="0.35">
      <c r="A2" s="6" t="s">
        <v>37</v>
      </c>
      <c r="B2" s="27" t="s">
        <v>6</v>
      </c>
      <c r="C2" s="27" t="s">
        <v>8</v>
      </c>
      <c r="D2" s="27" t="s">
        <v>9</v>
      </c>
      <c r="E2" s="27" t="s">
        <v>14</v>
      </c>
      <c r="F2" s="27" t="s">
        <v>7</v>
      </c>
      <c r="G2" s="27" t="s">
        <v>19</v>
      </c>
      <c r="H2" s="27" t="s">
        <v>4</v>
      </c>
      <c r="I2" s="28" t="s">
        <v>2</v>
      </c>
      <c r="J2" s="27" t="s">
        <v>38</v>
      </c>
      <c r="K2" s="27" t="s">
        <v>39</v>
      </c>
      <c r="L2" s="27" t="s">
        <v>40</v>
      </c>
      <c r="M2" s="27" t="s">
        <v>10</v>
      </c>
      <c r="N2" s="27" t="s">
        <v>15</v>
      </c>
      <c r="O2" s="27" t="s">
        <v>16</v>
      </c>
      <c r="P2" s="29" t="s">
        <v>17</v>
      </c>
      <c r="Q2" s="30" t="s">
        <v>3</v>
      </c>
      <c r="R2" s="27" t="s">
        <v>21</v>
      </c>
      <c r="S2" s="27" t="s">
        <v>13</v>
      </c>
      <c r="T2" s="27" t="s">
        <v>0</v>
      </c>
      <c r="U2" s="27" t="s">
        <v>1</v>
      </c>
      <c r="V2" s="27" t="s">
        <v>12</v>
      </c>
      <c r="W2" s="27" t="s">
        <v>11</v>
      </c>
      <c r="X2" s="27" t="s">
        <v>20</v>
      </c>
      <c r="Y2" s="27" t="s">
        <v>5</v>
      </c>
      <c r="Z2" s="27" t="s">
        <v>27</v>
      </c>
      <c r="AA2" s="27" t="s">
        <v>28</v>
      </c>
    </row>
    <row r="3" spans="1:27" x14ac:dyDescent="0.3">
      <c r="A3" s="2" t="s">
        <v>47</v>
      </c>
      <c r="B3" s="2">
        <v>9.81</v>
      </c>
      <c r="C3" s="2">
        <v>1000</v>
      </c>
      <c r="D3" s="18">
        <f>2.5/100</f>
        <v>2.5000000000000001E-2</v>
      </c>
      <c r="E3" s="2">
        <v>2.5999999999999999E-2</v>
      </c>
      <c r="F3" s="2">
        <v>1</v>
      </c>
      <c r="G3" s="8">
        <v>1</v>
      </c>
      <c r="H3" s="2">
        <v>1</v>
      </c>
      <c r="I3" s="4">
        <f>D3/E3</f>
        <v>0.96153846153846168</v>
      </c>
      <c r="J3" s="2">
        <f>(11.5/200)/E3</f>
        <v>2.2115384615384617</v>
      </c>
      <c r="K3" s="2">
        <f>J3-1</f>
        <v>1.2115384615384617</v>
      </c>
      <c r="L3" s="2">
        <v>0.27654240000000002</v>
      </c>
      <c r="M3" s="2">
        <v>0.66100000000000003</v>
      </c>
      <c r="N3" s="2">
        <f>(((H3^(((2*G3)+3)/3))*(D3^G3)*(1/F3))/((Q3*I3)^(2*G3/3)))^(1/G3)</f>
        <v>6.5497223602506752E-4</v>
      </c>
      <c r="O3" s="2">
        <f>M3/N3</f>
        <v>1009.2030831894709</v>
      </c>
      <c r="P3" s="5">
        <f>(F3+(H3*D3/M3))/Q3</f>
        <v>4.2316880024551194E-3</v>
      </c>
      <c r="Q3" s="5">
        <f>B3*C3*D3</f>
        <v>245.25</v>
      </c>
      <c r="R3" s="2">
        <f>F3*((M3/D3)^(G3))</f>
        <v>26.44</v>
      </c>
      <c r="S3" s="2">
        <f>C3*M3*M3</f>
        <v>436.92100000000005</v>
      </c>
      <c r="T3" s="2">
        <f>Q3/R3</f>
        <v>9.2757186081694396</v>
      </c>
      <c r="U3" s="12">
        <f>H3/Q3</f>
        <v>4.0774719673802246E-3</v>
      </c>
      <c r="V3" s="2">
        <f>S3/Q3</f>
        <v>1.7815331294597352</v>
      </c>
      <c r="W3" s="2">
        <f>S3/R3</f>
        <v>16.525000000000002</v>
      </c>
      <c r="X3" s="2">
        <f>(T3*I3)^((1)/((2*G3)+3))</f>
        <v>1.5490407587954711</v>
      </c>
      <c r="Y3" s="2">
        <f>((1/U3)*I3)^(1/3)</f>
        <v>6.1781515725056817</v>
      </c>
      <c r="Z3" s="2">
        <f>((1/T3)*(1/I3))^((2)/((2*G3)+3))</f>
        <v>0.41674875359752916</v>
      </c>
      <c r="AA3" s="2">
        <f>((U3)*(1/I3))^(2/3)</f>
        <v>2.6198889441002699E-2</v>
      </c>
    </row>
    <row r="4" spans="1:27" x14ac:dyDescent="0.3">
      <c r="A4" s="1" t="s">
        <v>47</v>
      </c>
      <c r="B4" s="2">
        <v>9.81</v>
      </c>
      <c r="C4" s="2">
        <v>1000</v>
      </c>
      <c r="D4" s="18">
        <v>3.2500000000000001E-2</v>
      </c>
      <c r="E4" s="2">
        <v>2.5999999999999999E-2</v>
      </c>
      <c r="F4" s="2">
        <v>1</v>
      </c>
      <c r="G4" s="8">
        <v>1</v>
      </c>
      <c r="H4" s="2">
        <v>1</v>
      </c>
      <c r="I4" s="4">
        <f>D4/E4</f>
        <v>1.25</v>
      </c>
      <c r="J4" s="2">
        <f>(13/200)/E4</f>
        <v>2.5</v>
      </c>
      <c r="K4" s="2">
        <f t="shared" ref="K4:K13" si="0">J4-1</f>
        <v>1.5</v>
      </c>
      <c r="L4" s="2">
        <v>0.22543213000000001</v>
      </c>
      <c r="M4" s="2">
        <v>0.8</v>
      </c>
      <c r="N4" s="2">
        <f>(((H4^(((2*G4)+3)/3))*(D4^G4)*(1/F4))/((Q4*I4)^(2*G4/3)))^(1/G4)</f>
        <v>6.0012507520483451E-4</v>
      </c>
      <c r="O4" s="2">
        <f>M4/N4</f>
        <v>1333.0554463616511</v>
      </c>
      <c r="P4" s="5">
        <f>(F4+(H4*D4/M4))/Q4</f>
        <v>3.2639378969654196E-3</v>
      </c>
      <c r="Q4" s="5">
        <f>B4*C4*D4</f>
        <v>318.82499999999999</v>
      </c>
      <c r="R4" s="2">
        <f>F4*((M4/D4)^(G4))</f>
        <v>24.615384615384617</v>
      </c>
      <c r="S4" s="2">
        <f>C4*M4*M4</f>
        <v>640</v>
      </c>
      <c r="T4" s="2">
        <f>Q4/R4</f>
        <v>12.952265624999999</v>
      </c>
      <c r="U4" s="12">
        <f>H4/Q4</f>
        <v>3.1365168979847879E-3</v>
      </c>
      <c r="V4" s="2">
        <f>S4/Q4</f>
        <v>2.0073708147102645</v>
      </c>
      <c r="W4" s="2">
        <f>S4/R4</f>
        <v>26</v>
      </c>
      <c r="X4" s="2">
        <f>(T4*I4)^((1)/((2*G4)+3))</f>
        <v>1.745223897033056</v>
      </c>
      <c r="Y4" s="2">
        <f>((1/U4)*I4)^(1/3)</f>
        <v>7.3590337346992829</v>
      </c>
      <c r="Z4" s="2">
        <f>((1/T4)*(1/I4))^((2)/((2*G4)+3))</f>
        <v>0.32832027121929253</v>
      </c>
      <c r="AA4" s="2">
        <f>((U4)*(1/I4))^(2/3)</f>
        <v>1.8465386929379532E-2</v>
      </c>
    </row>
    <row r="5" spans="1:27" x14ac:dyDescent="0.3">
      <c r="A5" s="1" t="s">
        <v>47</v>
      </c>
      <c r="B5" s="1">
        <v>9.81</v>
      </c>
      <c r="C5" s="2">
        <v>1000</v>
      </c>
      <c r="D5" s="18">
        <f>5/100</f>
        <v>0.05</v>
      </c>
      <c r="E5" s="2">
        <v>2.5999999999999999E-2</v>
      </c>
      <c r="F5" s="2">
        <v>1</v>
      </c>
      <c r="G5" s="8">
        <v>1</v>
      </c>
      <c r="H5" s="2">
        <v>1</v>
      </c>
      <c r="I5" s="4">
        <f t="shared" ref="I5:I13" si="1">D5/E5</f>
        <v>1.9230769230769234</v>
      </c>
      <c r="J5" s="2">
        <f>(14.3/200)/E5</f>
        <v>2.7500000000000004</v>
      </c>
      <c r="K5" s="2">
        <f t="shared" si="0"/>
        <v>1.7500000000000004</v>
      </c>
      <c r="L5" s="2">
        <v>0.21235134</v>
      </c>
      <c r="M5" s="2">
        <v>0.97</v>
      </c>
      <c r="N5" s="2">
        <f>(((H5^(((2*G5)+3)/3))*(D5^G5)*(1/F5))/((Q5*I5)^(2*G5/3)))^(1/G5)</f>
        <v>5.1985180823807813E-4</v>
      </c>
      <c r="O5" s="2">
        <f t="shared" ref="O5:O13" si="2">M5/N5</f>
        <v>1865.9163719899309</v>
      </c>
      <c r="P5" s="5">
        <f t="shared" ref="P5:P13" si="3">(F5+(H5*D5/M5))/Q5</f>
        <v>2.1438254673854787E-3</v>
      </c>
      <c r="Q5" s="5">
        <f t="shared" ref="Q5:Q13" si="4">B5*C5*D5</f>
        <v>490.5</v>
      </c>
      <c r="R5" s="2">
        <f>F5*((M5/D5)^(G5))</f>
        <v>19.399999999999999</v>
      </c>
      <c r="S5" s="2">
        <f t="shared" ref="S5:S13" si="5">C5*M5*M5</f>
        <v>940.9</v>
      </c>
      <c r="T5" s="2">
        <f t="shared" ref="T5:T13" si="6">Q5/R5</f>
        <v>25.283505154639176</v>
      </c>
      <c r="U5" s="12">
        <f t="shared" ref="U5:U13" si="7">H5/Q5</f>
        <v>2.0387359836901123E-3</v>
      </c>
      <c r="V5" s="2">
        <f t="shared" ref="V5:V13" si="8">S5/Q5</f>
        <v>1.9182466870540265</v>
      </c>
      <c r="W5" s="2">
        <f t="shared" ref="W5:W13" si="9">S5/R5</f>
        <v>48.5</v>
      </c>
      <c r="X5" s="2">
        <f>(T5*I5)^((1)/((2*G5)+3))</f>
        <v>2.1745369298753663</v>
      </c>
      <c r="Y5" s="2">
        <f t="shared" ref="Y5:Y13" si="10">((1/U5)*I5)^(1/3)</f>
        <v>9.8072043054145031</v>
      </c>
      <c r="Z5" s="2">
        <f>((1/T5)*(1/I5))^((2)/((2*G5)+3))</f>
        <v>0.21147859905067865</v>
      </c>
      <c r="AA5" s="2">
        <f>((U5)*(1/I5))^(2/3)</f>
        <v>1.0397036164761562E-2</v>
      </c>
    </row>
    <row r="6" spans="1:27" x14ac:dyDescent="0.3">
      <c r="A6" s="1" t="s">
        <v>47</v>
      </c>
      <c r="B6" s="1">
        <v>9.81</v>
      </c>
      <c r="C6" s="2">
        <v>1000</v>
      </c>
      <c r="D6" s="18">
        <f>6.25/100</f>
        <v>6.25E-2</v>
      </c>
      <c r="E6" s="2">
        <v>2.5999999999999999E-2</v>
      </c>
      <c r="F6" s="2">
        <v>1</v>
      </c>
      <c r="G6" s="8">
        <v>1</v>
      </c>
      <c r="H6" s="2">
        <v>1</v>
      </c>
      <c r="I6" s="4">
        <f t="shared" si="1"/>
        <v>2.4038461538461537</v>
      </c>
      <c r="J6" s="2">
        <f>(15.2/200)/E6</f>
        <v>2.9230769230769234</v>
      </c>
      <c r="K6" s="2">
        <f t="shared" si="0"/>
        <v>1.9230769230769234</v>
      </c>
      <c r="L6" s="2">
        <v>0.19345654230000001</v>
      </c>
      <c r="M6" s="2">
        <v>1.1299999999999999</v>
      </c>
      <c r="N6" s="2">
        <f>(((H6^(((2*G6)+3)/3))*(D6^G6)*(1/F6))/((Q6*I6)^(2*G6/3)))^(1/G6)</f>
        <v>4.8258766965025499E-4</v>
      </c>
      <c r="O6" s="2">
        <f t="shared" si="2"/>
        <v>2341.5434563816002</v>
      </c>
      <c r="P6" s="5">
        <f t="shared" si="3"/>
        <v>1.721198343752537E-3</v>
      </c>
      <c r="Q6" s="5">
        <f t="shared" si="4"/>
        <v>613.125</v>
      </c>
      <c r="R6" s="2">
        <f>F6*((M6/D6)^(G6))</f>
        <v>18.079999999999998</v>
      </c>
      <c r="S6" s="2">
        <f t="shared" si="5"/>
        <v>1276.8999999999999</v>
      </c>
      <c r="T6" s="2">
        <f t="shared" si="6"/>
        <v>33.911780973451329</v>
      </c>
      <c r="U6" s="12">
        <f t="shared" si="7"/>
        <v>1.6309887869520897E-3</v>
      </c>
      <c r="V6" s="2">
        <f t="shared" si="8"/>
        <v>2.0826095820591233</v>
      </c>
      <c r="W6" s="2">
        <f t="shared" si="9"/>
        <v>70.625</v>
      </c>
      <c r="X6" s="2">
        <f>(T6*I6)^((1)/((2*G6)+3))</f>
        <v>2.4113011517812826</v>
      </c>
      <c r="Y6" s="2">
        <f t="shared" si="10"/>
        <v>11.380252498242783</v>
      </c>
      <c r="Z6" s="2">
        <f t="shared" ref="Z6:Z13" si="11">((1/T6)*(1/I6))^((2)/((2*G6)+3))</f>
        <v>0.17198758282878954</v>
      </c>
      <c r="AA6" s="2">
        <f t="shared" ref="AA6:AA13" si="12">((U6)*(1/I6))^(2/3)</f>
        <v>7.7214027144040798E-3</v>
      </c>
    </row>
    <row r="7" spans="1:27" x14ac:dyDescent="0.3">
      <c r="A7" s="1" t="s">
        <v>47</v>
      </c>
      <c r="B7" s="2">
        <v>9.81</v>
      </c>
      <c r="C7" s="2">
        <v>1000</v>
      </c>
      <c r="D7" s="18">
        <f>7.5/100</f>
        <v>7.4999999999999997E-2</v>
      </c>
      <c r="E7" s="2">
        <v>2.5999999999999999E-2</v>
      </c>
      <c r="F7" s="2">
        <v>1</v>
      </c>
      <c r="G7" s="8">
        <v>1</v>
      </c>
      <c r="H7" s="32">
        <v>0.9</v>
      </c>
      <c r="I7" s="4">
        <f t="shared" si="1"/>
        <v>2.8846153846153846</v>
      </c>
      <c r="J7" s="2">
        <f>(17/200)/E7</f>
        <v>3.2692307692307696</v>
      </c>
      <c r="K7" s="2">
        <f t="shared" si="0"/>
        <v>2.2692307692307696</v>
      </c>
      <c r="L7" s="2">
        <v>0.17542464999999999</v>
      </c>
      <c r="M7" s="2">
        <v>1.2</v>
      </c>
      <c r="N7" s="2">
        <f t="shared" ref="N7:N13" si="13">(((H7^(((2*G7)+3)/3))*(D7^G7)*(1/F7))/((Q7*I7)^(2*G7/3)))^(1/G7)</f>
        <v>3.8099562470104227E-4</v>
      </c>
      <c r="O7" s="2">
        <f t="shared" si="2"/>
        <v>3149.6424688383495</v>
      </c>
      <c r="P7" s="5">
        <f t="shared" si="3"/>
        <v>1.4356099218484539E-3</v>
      </c>
      <c r="Q7" s="5">
        <f t="shared" si="4"/>
        <v>735.75</v>
      </c>
      <c r="R7" s="2">
        <f t="shared" ref="R7:R13" si="14">F7*((M7/D7)^(G7))</f>
        <v>16</v>
      </c>
      <c r="S7" s="2">
        <f t="shared" si="5"/>
        <v>1440</v>
      </c>
      <c r="T7" s="2">
        <f t="shared" si="6"/>
        <v>45.984375</v>
      </c>
      <c r="U7" s="12">
        <f t="shared" si="7"/>
        <v>1.2232415902140672E-3</v>
      </c>
      <c r="V7" s="2">
        <f t="shared" si="8"/>
        <v>1.9571865443425076</v>
      </c>
      <c r="W7" s="2">
        <f t="shared" si="9"/>
        <v>90</v>
      </c>
      <c r="X7" s="2">
        <f t="shared" ref="X7:X13" si="15">(T7*I7)^((1)/((2*G7)+3))</f>
        <v>2.6579061417941552</v>
      </c>
      <c r="Y7" s="2">
        <f t="shared" si="10"/>
        <v>13.310424068081273</v>
      </c>
      <c r="Z7" s="2">
        <f t="shared" si="11"/>
        <v>0.14155353472722845</v>
      </c>
      <c r="AA7" s="2">
        <f t="shared" si="12"/>
        <v>5.6443796252006236E-3</v>
      </c>
    </row>
    <row r="8" spans="1:27" x14ac:dyDescent="0.3">
      <c r="A8" s="1" t="s">
        <v>47</v>
      </c>
      <c r="B8" s="2">
        <v>9.81</v>
      </c>
      <c r="C8" s="2">
        <v>1000</v>
      </c>
      <c r="D8" s="18">
        <f>7.5/100</f>
        <v>7.4999999999999997E-2</v>
      </c>
      <c r="E8" s="2">
        <v>2.5999999999999999E-2</v>
      </c>
      <c r="F8" s="2">
        <v>1</v>
      </c>
      <c r="G8" s="8">
        <v>1</v>
      </c>
      <c r="H8" s="2">
        <v>0.8</v>
      </c>
      <c r="I8" s="4">
        <f t="shared" si="1"/>
        <v>2.8846153846153846</v>
      </c>
      <c r="J8" s="2">
        <f>(17/200)/E8</f>
        <v>3.2692307692307696</v>
      </c>
      <c r="K8" s="2">
        <f t="shared" si="0"/>
        <v>2.2692307692307696</v>
      </c>
      <c r="L8" s="2">
        <v>0.16543124000000001</v>
      </c>
      <c r="M8" s="2">
        <v>1.2</v>
      </c>
      <c r="N8" s="2">
        <f t="shared" si="13"/>
        <v>3.1308753998782922E-4</v>
      </c>
      <c r="O8" s="2">
        <f t="shared" si="2"/>
        <v>3832.7938571003115</v>
      </c>
      <c r="P8" s="5">
        <f t="shared" si="3"/>
        <v>1.4271151885830785E-3</v>
      </c>
      <c r="Q8" s="5">
        <f t="shared" si="4"/>
        <v>735.75</v>
      </c>
      <c r="R8" s="2">
        <f t="shared" si="14"/>
        <v>16</v>
      </c>
      <c r="S8" s="2">
        <f t="shared" si="5"/>
        <v>1440</v>
      </c>
      <c r="T8" s="2">
        <f t="shared" si="6"/>
        <v>45.984375</v>
      </c>
      <c r="U8" s="12">
        <f t="shared" si="7"/>
        <v>1.0873258579680598E-3</v>
      </c>
      <c r="V8" s="2">
        <f t="shared" si="8"/>
        <v>1.9571865443425076</v>
      </c>
      <c r="W8" s="2">
        <f t="shared" si="9"/>
        <v>90</v>
      </c>
      <c r="X8" s="2">
        <f t="shared" si="15"/>
        <v>2.6579061417941552</v>
      </c>
      <c r="Y8" s="2">
        <f t="shared" si="10"/>
        <v>13.843398890988283</v>
      </c>
      <c r="Z8" s="2">
        <f t="shared" si="11"/>
        <v>0.14155353472722845</v>
      </c>
      <c r="AA8" s="2">
        <f t="shared" si="12"/>
        <v>5.2181256664638196E-3</v>
      </c>
    </row>
    <row r="9" spans="1:27" x14ac:dyDescent="0.3">
      <c r="A9" s="1" t="s">
        <v>47</v>
      </c>
      <c r="B9" s="1">
        <v>9.81</v>
      </c>
      <c r="C9" s="2">
        <v>1000</v>
      </c>
      <c r="D9" s="18">
        <f>10/100</f>
        <v>0.1</v>
      </c>
      <c r="E9" s="2">
        <v>2.5999999999999999E-2</v>
      </c>
      <c r="F9" s="2">
        <v>1</v>
      </c>
      <c r="G9" s="8">
        <v>1</v>
      </c>
      <c r="H9" s="2">
        <v>0.7</v>
      </c>
      <c r="I9" s="4">
        <f t="shared" si="1"/>
        <v>3.8461538461538467</v>
      </c>
      <c r="J9" s="2">
        <f>(18.8/200)/E9</f>
        <v>3.6153846153846154</v>
      </c>
      <c r="K9" s="2">
        <f t="shared" si="0"/>
        <v>2.6153846153846154</v>
      </c>
      <c r="L9" s="2">
        <v>0.1465313</v>
      </c>
      <c r="M9" s="2">
        <v>1.39</v>
      </c>
      <c r="N9" s="2">
        <f t="shared" si="13"/>
        <v>2.2770171086407691E-4</v>
      </c>
      <c r="O9" s="2">
        <f t="shared" si="2"/>
        <v>6104.477628759405</v>
      </c>
      <c r="P9" s="5">
        <f t="shared" si="3"/>
        <v>1.070703070571066E-3</v>
      </c>
      <c r="Q9" s="5">
        <f t="shared" si="4"/>
        <v>981</v>
      </c>
      <c r="R9" s="2">
        <f t="shared" si="14"/>
        <v>13.899999999999999</v>
      </c>
      <c r="S9" s="2">
        <f t="shared" si="5"/>
        <v>1932.1</v>
      </c>
      <c r="T9" s="2">
        <f t="shared" si="6"/>
        <v>70.575539568345334</v>
      </c>
      <c r="U9" s="12">
        <f t="shared" si="7"/>
        <v>7.1355759429153924E-4</v>
      </c>
      <c r="V9" s="2">
        <f t="shared" si="8"/>
        <v>1.9695208970438327</v>
      </c>
      <c r="W9" s="2">
        <f t="shared" si="9"/>
        <v>139</v>
      </c>
      <c r="X9" s="2">
        <f t="shared" si="15"/>
        <v>3.067158164198196</v>
      </c>
      <c r="Y9" s="2">
        <f t="shared" si="10"/>
        <v>17.533389196048606</v>
      </c>
      <c r="Z9" s="2">
        <f t="shared" si="11"/>
        <v>0.10629862732253283</v>
      </c>
      <c r="AA9" s="2">
        <f t="shared" si="12"/>
        <v>3.2528815837725264E-3</v>
      </c>
    </row>
    <row r="10" spans="1:27" x14ac:dyDescent="0.3">
      <c r="A10" s="1" t="s">
        <v>47</v>
      </c>
      <c r="B10" s="1">
        <v>9.81</v>
      </c>
      <c r="C10" s="2">
        <v>1000</v>
      </c>
      <c r="D10" s="18">
        <f>11/100</f>
        <v>0.11</v>
      </c>
      <c r="E10" s="2">
        <v>2.5999999999999999E-2</v>
      </c>
      <c r="F10" s="2">
        <v>1</v>
      </c>
      <c r="G10" s="8">
        <v>1</v>
      </c>
      <c r="H10" s="2">
        <v>0.7</v>
      </c>
      <c r="I10" s="4">
        <f t="shared" si="1"/>
        <v>4.2307692307692308</v>
      </c>
      <c r="J10" s="2">
        <f>(19.2/200)/E10</f>
        <v>3.6923076923076925</v>
      </c>
      <c r="K10" s="2">
        <f t="shared" si="0"/>
        <v>2.6923076923076925</v>
      </c>
      <c r="L10" s="2">
        <v>0.12565423000000001</v>
      </c>
      <c r="M10" s="2">
        <v>1.5</v>
      </c>
      <c r="N10" s="2">
        <f t="shared" si="13"/>
        <v>2.205813203748585E-4</v>
      </c>
      <c r="O10" s="2">
        <f t="shared" si="2"/>
        <v>6800.2131705934225</v>
      </c>
      <c r="P10" s="5">
        <f t="shared" si="3"/>
        <v>9.7426868069069904E-4</v>
      </c>
      <c r="Q10" s="5">
        <f t="shared" si="4"/>
        <v>1079.0999999999999</v>
      </c>
      <c r="R10" s="2">
        <f t="shared" si="14"/>
        <v>13.636363636363637</v>
      </c>
      <c r="S10" s="2">
        <f t="shared" si="5"/>
        <v>2250</v>
      </c>
      <c r="T10" s="2">
        <f t="shared" si="6"/>
        <v>79.133999999999986</v>
      </c>
      <c r="U10" s="12">
        <f t="shared" si="7"/>
        <v>6.4868872208321746E-4</v>
      </c>
      <c r="V10" s="2">
        <f t="shared" si="8"/>
        <v>2.085070892410342</v>
      </c>
      <c r="W10" s="2">
        <f t="shared" si="9"/>
        <v>165</v>
      </c>
      <c r="X10" s="2">
        <f t="shared" si="15"/>
        <v>3.1985746514958362</v>
      </c>
      <c r="Y10" s="2">
        <f t="shared" si="10"/>
        <v>18.683618745408925</v>
      </c>
      <c r="Z10" s="2">
        <f t="shared" si="11"/>
        <v>9.7743304528269251E-2</v>
      </c>
      <c r="AA10" s="2">
        <f t="shared" si="12"/>
        <v>2.8646924724007594E-3</v>
      </c>
    </row>
    <row r="11" spans="1:27" x14ac:dyDescent="0.3">
      <c r="A11" s="1" t="s">
        <v>47</v>
      </c>
      <c r="B11" s="2">
        <v>9.81</v>
      </c>
      <c r="C11" s="2">
        <v>1000</v>
      </c>
      <c r="D11" s="18">
        <f>12.5/100</f>
        <v>0.125</v>
      </c>
      <c r="E11" s="2">
        <v>2.5999999999999999E-2</v>
      </c>
      <c r="F11" s="2">
        <v>1</v>
      </c>
      <c r="G11" s="8">
        <v>1</v>
      </c>
      <c r="H11" s="2">
        <v>0.65</v>
      </c>
      <c r="I11" s="4">
        <f t="shared" si="1"/>
        <v>4.8076923076923075</v>
      </c>
      <c r="J11" s="2">
        <f>(20.2/200)/E11</f>
        <v>3.8846153846153846</v>
      </c>
      <c r="K11" s="2">
        <f t="shared" si="0"/>
        <v>2.8846153846153846</v>
      </c>
      <c r="L11" s="2">
        <v>0.11405413</v>
      </c>
      <c r="M11" s="2">
        <v>1.5580000000000001</v>
      </c>
      <c r="N11" s="2">
        <f t="shared" si="13"/>
        <v>1.8681933297508686E-4</v>
      </c>
      <c r="O11" s="2">
        <f t="shared" si="2"/>
        <v>8339.6079794791149</v>
      </c>
      <c r="P11" s="5">
        <f t="shared" si="3"/>
        <v>8.5802258312298236E-4</v>
      </c>
      <c r="Q11" s="5">
        <f t="shared" si="4"/>
        <v>1226.25</v>
      </c>
      <c r="R11" s="2">
        <f t="shared" si="14"/>
        <v>12.464</v>
      </c>
      <c r="S11" s="2">
        <f t="shared" si="5"/>
        <v>2427.364</v>
      </c>
      <c r="T11" s="2">
        <f t="shared" si="6"/>
        <v>98.383344030808729</v>
      </c>
      <c r="U11" s="12">
        <f t="shared" si="7"/>
        <v>5.300713557594292E-4</v>
      </c>
      <c r="V11" s="2">
        <f t="shared" si="8"/>
        <v>1.9795017329255862</v>
      </c>
      <c r="W11" s="2">
        <f t="shared" si="9"/>
        <v>194.75</v>
      </c>
      <c r="X11" s="2">
        <f t="shared" si="15"/>
        <v>3.4274541120873918</v>
      </c>
      <c r="Y11" s="2">
        <f t="shared" si="10"/>
        <v>20.854547752453346</v>
      </c>
      <c r="Z11" s="2">
        <f t="shared" si="11"/>
        <v>8.5124917096773986E-2</v>
      </c>
      <c r="AA11" s="2">
        <f t="shared" si="12"/>
        <v>2.2993148673856839E-3</v>
      </c>
    </row>
    <row r="12" spans="1:27" x14ac:dyDescent="0.3">
      <c r="A12" s="1" t="s">
        <v>47</v>
      </c>
      <c r="B12" s="1">
        <v>9.81</v>
      </c>
      <c r="C12" s="2">
        <v>1000</v>
      </c>
      <c r="D12" s="18">
        <f>15/100</f>
        <v>0.15</v>
      </c>
      <c r="E12" s="2">
        <v>2.5999999999999999E-2</v>
      </c>
      <c r="F12" s="2">
        <v>1</v>
      </c>
      <c r="G12" s="8">
        <v>1</v>
      </c>
      <c r="H12" s="2">
        <v>0.6</v>
      </c>
      <c r="I12" s="4">
        <f t="shared" si="1"/>
        <v>5.7692307692307692</v>
      </c>
      <c r="J12" s="2">
        <f>(22.1/200)/E12</f>
        <v>4.25</v>
      </c>
      <c r="K12" s="2">
        <f t="shared" si="0"/>
        <v>3.25</v>
      </c>
      <c r="L12" s="2">
        <v>0.10765342</v>
      </c>
      <c r="M12" s="2">
        <v>1.71</v>
      </c>
      <c r="N12" s="2">
        <f t="shared" si="13"/>
        <v>1.538477767607131E-4</v>
      </c>
      <c r="O12" s="2">
        <f t="shared" si="2"/>
        <v>11114.882749717246</v>
      </c>
      <c r="P12" s="5">
        <f t="shared" si="3"/>
        <v>7.1534595918951302E-4</v>
      </c>
      <c r="Q12" s="5">
        <f t="shared" si="4"/>
        <v>1471.5</v>
      </c>
      <c r="R12" s="2">
        <f t="shared" si="14"/>
        <v>11.4</v>
      </c>
      <c r="S12" s="2">
        <f t="shared" si="5"/>
        <v>2924.1</v>
      </c>
      <c r="T12" s="2">
        <f t="shared" si="6"/>
        <v>129.07894736842104</v>
      </c>
      <c r="U12" s="12">
        <f t="shared" si="7"/>
        <v>4.0774719673802244E-4</v>
      </c>
      <c r="V12" s="2">
        <f t="shared" si="8"/>
        <v>1.9871559633027522</v>
      </c>
      <c r="W12" s="2">
        <f t="shared" si="9"/>
        <v>256.5</v>
      </c>
      <c r="X12" s="2">
        <f t="shared" si="15"/>
        <v>3.7531391394873039</v>
      </c>
      <c r="Y12" s="2">
        <f t="shared" si="10"/>
        <v>24.18664567343902</v>
      </c>
      <c r="Z12" s="2">
        <f t="shared" si="11"/>
        <v>7.0992205664579283E-2</v>
      </c>
      <c r="AA12" s="2">
        <f t="shared" si="12"/>
        <v>1.7094197417857017E-3</v>
      </c>
    </row>
    <row r="13" spans="1:27" x14ac:dyDescent="0.3">
      <c r="A13" s="1" t="s">
        <v>47</v>
      </c>
      <c r="B13" s="1">
        <v>9.81</v>
      </c>
      <c r="C13" s="2">
        <v>1000</v>
      </c>
      <c r="D13" s="9">
        <v>0.17</v>
      </c>
      <c r="E13" s="2">
        <v>2.5999999999999999E-2</v>
      </c>
      <c r="F13" s="2">
        <v>1</v>
      </c>
      <c r="G13" s="8">
        <v>1</v>
      </c>
      <c r="H13" s="2">
        <v>0.5</v>
      </c>
      <c r="I13" s="1">
        <f t="shared" si="1"/>
        <v>6.5384615384615392</v>
      </c>
      <c r="J13" s="1">
        <f>(24/200)/E13</f>
        <v>4.6153846153846159</v>
      </c>
      <c r="K13" s="2">
        <f t="shared" si="0"/>
        <v>3.6153846153846159</v>
      </c>
      <c r="L13" s="2">
        <v>9.9945412999999997E-2</v>
      </c>
      <c r="M13" s="1">
        <v>1.8839999999999999</v>
      </c>
      <c r="N13" s="1">
        <f t="shared" si="13"/>
        <v>1.08893826857875E-4</v>
      </c>
      <c r="O13" s="1">
        <f t="shared" si="2"/>
        <v>17301.256226938749</v>
      </c>
      <c r="P13" s="1">
        <f t="shared" si="3"/>
        <v>6.2668152115115373E-4</v>
      </c>
      <c r="Q13" s="1">
        <f t="shared" si="4"/>
        <v>1667.7</v>
      </c>
      <c r="R13" s="1">
        <f t="shared" si="14"/>
        <v>11.082352941176469</v>
      </c>
      <c r="S13" s="1">
        <f t="shared" si="5"/>
        <v>3549.4559999999997</v>
      </c>
      <c r="T13" s="1">
        <f t="shared" si="6"/>
        <v>150.48248407643317</v>
      </c>
      <c r="U13" s="19">
        <f t="shared" si="7"/>
        <v>2.9981411524854587E-4</v>
      </c>
      <c r="V13" s="1">
        <f t="shared" si="8"/>
        <v>2.1283540205072851</v>
      </c>
      <c r="W13" s="1">
        <f t="shared" si="9"/>
        <v>320.28000000000003</v>
      </c>
      <c r="X13" s="1">
        <f t="shared" si="15"/>
        <v>3.9681885991231005</v>
      </c>
      <c r="Y13" s="1">
        <f t="shared" si="10"/>
        <v>27.938805392442806</v>
      </c>
      <c r="Z13" s="2">
        <f t="shared" si="11"/>
        <v>6.3506092257147012E-2</v>
      </c>
      <c r="AA13" s="2">
        <f t="shared" si="12"/>
        <v>1.2811038453867641E-3</v>
      </c>
    </row>
    <row r="14" spans="1:27" ht="15" thickBot="1" x14ac:dyDescent="0.35"/>
    <row r="15" spans="1:27" ht="15" thickBot="1" x14ac:dyDescent="0.35">
      <c r="A15" s="33" t="s">
        <v>23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5"/>
    </row>
    <row r="16" spans="1:27" ht="20.399999999999999" thickBot="1" x14ac:dyDescent="0.35">
      <c r="A16" s="6" t="s">
        <v>37</v>
      </c>
      <c r="B16" s="27" t="s">
        <v>6</v>
      </c>
      <c r="C16" s="27" t="s">
        <v>8</v>
      </c>
      <c r="D16" s="27" t="s">
        <v>9</v>
      </c>
      <c r="E16" s="27" t="s">
        <v>14</v>
      </c>
      <c r="F16" s="27" t="s">
        <v>7</v>
      </c>
      <c r="G16" s="27" t="s">
        <v>19</v>
      </c>
      <c r="H16" s="27" t="s">
        <v>4</v>
      </c>
      <c r="I16" s="28" t="s">
        <v>2</v>
      </c>
      <c r="J16" s="27" t="s">
        <v>38</v>
      </c>
      <c r="K16" s="27" t="s">
        <v>39</v>
      </c>
      <c r="L16" s="27" t="s">
        <v>40</v>
      </c>
      <c r="M16" s="27" t="s">
        <v>10</v>
      </c>
      <c r="N16" s="27" t="s">
        <v>15</v>
      </c>
      <c r="O16" s="27" t="s">
        <v>16</v>
      </c>
      <c r="P16" s="29" t="s">
        <v>17</v>
      </c>
      <c r="Q16" s="30" t="s">
        <v>3</v>
      </c>
      <c r="R16" s="27" t="s">
        <v>21</v>
      </c>
      <c r="S16" s="27" t="s">
        <v>13</v>
      </c>
      <c r="T16" s="27" t="s">
        <v>0</v>
      </c>
      <c r="U16" s="27" t="s">
        <v>1</v>
      </c>
      <c r="V16" s="27" t="s">
        <v>12</v>
      </c>
      <c r="W16" s="27" t="s">
        <v>11</v>
      </c>
      <c r="X16" s="27" t="s">
        <v>20</v>
      </c>
      <c r="Y16" s="27" t="s">
        <v>5</v>
      </c>
      <c r="Z16" s="27" t="s">
        <v>27</v>
      </c>
      <c r="AA16" s="27" t="s">
        <v>28</v>
      </c>
    </row>
    <row r="17" spans="1:27" x14ac:dyDescent="0.3">
      <c r="A17" s="2" t="s">
        <v>57</v>
      </c>
      <c r="B17" s="2">
        <v>9.81</v>
      </c>
      <c r="C17" s="2">
        <v>1100</v>
      </c>
      <c r="D17" s="18">
        <f>4/100</f>
        <v>0.04</v>
      </c>
      <c r="E17" s="18">
        <f>7.8/200</f>
        <v>3.9E-2</v>
      </c>
      <c r="F17" s="2">
        <v>1</v>
      </c>
      <c r="G17" s="8">
        <v>1</v>
      </c>
      <c r="H17" s="2">
        <v>55</v>
      </c>
      <c r="I17" s="4">
        <f t="shared" ref="I17:I24" si="16">D17/E17</f>
        <v>1.0256410256410258</v>
      </c>
      <c r="J17" s="2">
        <f>(11.4/200)/E17</f>
        <v>1.4615384615384617</v>
      </c>
      <c r="K17" s="2">
        <f>J17-1</f>
        <v>0.46153846153846168</v>
      </c>
      <c r="L17" s="2">
        <v>0.53</v>
      </c>
      <c r="M17" s="2">
        <f>(((Q17-H17)*(D17^G17))/(F17))^(1/G17)</f>
        <v>15.0656</v>
      </c>
      <c r="N17" s="2">
        <f>(((H17^(((2*G17)+3)/3))*(D17^G17)*(1/F17))/((Q17*I17)^(2*G17/3)))^(1/G17)</f>
        <v>0.5477550981370658</v>
      </c>
      <c r="O17" s="2">
        <f t="shared" ref="O17:O24" si="17">M17/N17</f>
        <v>27.504262491099819</v>
      </c>
      <c r="P17" s="5">
        <f t="shared" ref="P17:P24" si="18">(F17+(H17*D17/M17))/Q17</f>
        <v>2.655055225148683E-3</v>
      </c>
      <c r="Q17" s="5">
        <f t="shared" ref="Q17:Q24" si="19">B17*C17*D17</f>
        <v>431.64</v>
      </c>
      <c r="R17" s="2">
        <f>F17*((M17/D17)^(G17))</f>
        <v>376.64</v>
      </c>
      <c r="S17" s="2">
        <f t="shared" ref="S17:S24" si="20">C17*M17*M17</f>
        <v>249669.533696</v>
      </c>
      <c r="T17" s="2">
        <f t="shared" ref="T17:T24" si="21">Q17/R17</f>
        <v>1.1460280373831775</v>
      </c>
      <c r="U17" s="12">
        <f t="shared" ref="U17:U24" si="22">H17/Q17</f>
        <v>0.127420998980632</v>
      </c>
      <c r="V17" s="2">
        <f t="shared" ref="V17:V24" si="23">S17/Q17</f>
        <v>578.42075270132523</v>
      </c>
      <c r="W17" s="2">
        <f t="shared" ref="W17:W24" si="24">S17/R17</f>
        <v>662.88639999999998</v>
      </c>
      <c r="X17" s="2">
        <f>(T17*I17)^((1)/((2*G17)+3))</f>
        <v>1.0328520727455566</v>
      </c>
      <c r="Y17" s="2">
        <f t="shared" ref="Y17:Y24" si="25">((1/U17)*I17)^(1/3)</f>
        <v>2.004094177239947</v>
      </c>
      <c r="Z17" s="2">
        <f>((1/T17)*(1/I17))^((2)/((2*G17)+3))</f>
        <v>0.93739740990210429</v>
      </c>
      <c r="AA17" s="2">
        <f>((U17)*(1/I17))^(2/3)</f>
        <v>0.24897959006230228</v>
      </c>
    </row>
    <row r="18" spans="1:27" x14ac:dyDescent="0.3">
      <c r="A18" s="2" t="s">
        <v>57</v>
      </c>
      <c r="B18" s="2">
        <v>9.81</v>
      </c>
      <c r="C18" s="2">
        <v>1100</v>
      </c>
      <c r="D18" s="18">
        <f>6/100</f>
        <v>0.06</v>
      </c>
      <c r="E18" s="18">
        <f t="shared" ref="E18:E24" si="26">7.8/200</f>
        <v>3.9E-2</v>
      </c>
      <c r="F18" s="2">
        <v>1</v>
      </c>
      <c r="G18" s="8">
        <v>1</v>
      </c>
      <c r="H18" s="2">
        <v>55</v>
      </c>
      <c r="I18" s="4">
        <f t="shared" si="16"/>
        <v>1.5384615384615383</v>
      </c>
      <c r="J18" s="2">
        <f>(13.4/200)/E18</f>
        <v>1.7179487179487181</v>
      </c>
      <c r="K18" s="2">
        <f t="shared" ref="K18:K24" si="27">J18-1</f>
        <v>0.71794871794871806</v>
      </c>
      <c r="L18" s="2">
        <v>0.43</v>
      </c>
      <c r="M18" s="2">
        <f t="shared" ref="M18:M24" si="28">(((Q18-H18)*(D18^G18))/(F18))^(1/G18)</f>
        <v>35.547599999999996</v>
      </c>
      <c r="N18" s="2">
        <f>(((H18^(((2*G18)+3)/3))*(D18^G18)*(1/F18))/((Q18*I18)^(2*G18/3)))^(1/G18)</f>
        <v>0.47850815319225498</v>
      </c>
      <c r="O18" s="2">
        <f t="shared" si="17"/>
        <v>74.288389367772552</v>
      </c>
      <c r="P18" s="5">
        <f t="shared" si="18"/>
        <v>1.6878776626270131E-3</v>
      </c>
      <c r="Q18" s="5">
        <f t="shared" si="19"/>
        <v>647.45999999999992</v>
      </c>
      <c r="R18" s="2">
        <f>F18*((M18/D18)^(G18))</f>
        <v>592.45999999999992</v>
      </c>
      <c r="S18" s="2">
        <f t="shared" si="20"/>
        <v>1389995.0523359997</v>
      </c>
      <c r="T18" s="2">
        <f t="shared" si="21"/>
        <v>1.0928332714444857</v>
      </c>
      <c r="U18" s="12">
        <f t="shared" si="22"/>
        <v>8.4947332653754676E-2</v>
      </c>
      <c r="V18" s="2">
        <f t="shared" si="23"/>
        <v>2146.8431290519875</v>
      </c>
      <c r="W18" s="2">
        <f t="shared" si="24"/>
        <v>2346.1415999999999</v>
      </c>
      <c r="X18" s="2">
        <f>(T18*I18)^((1)/((2*G18)+3))</f>
        <v>1.1095020535891573</v>
      </c>
      <c r="Y18" s="2">
        <f t="shared" si="25"/>
        <v>2.6261062840928746</v>
      </c>
      <c r="Z18" s="2">
        <f t="shared" ref="Z18:Z24" si="29">((1/T18)*(1/I18))^((2)/((2*G18)+3))</f>
        <v>0.81235111178349595</v>
      </c>
      <c r="AA18" s="2">
        <f t="shared" ref="AA18:AA24" si="30">((U18)*(1/I18))^(2/3)</f>
        <v>0.14500247066431948</v>
      </c>
    </row>
    <row r="19" spans="1:27" x14ac:dyDescent="0.3">
      <c r="A19" s="2" t="s">
        <v>57</v>
      </c>
      <c r="B19" s="1">
        <v>9.81</v>
      </c>
      <c r="C19" s="2">
        <v>1100</v>
      </c>
      <c r="D19" s="18">
        <f>8/100</f>
        <v>0.08</v>
      </c>
      <c r="E19" s="18">
        <f t="shared" si="26"/>
        <v>3.9E-2</v>
      </c>
      <c r="F19" s="2">
        <v>1</v>
      </c>
      <c r="G19" s="8">
        <v>1</v>
      </c>
      <c r="H19" s="2">
        <v>55</v>
      </c>
      <c r="I19" s="4">
        <f t="shared" si="16"/>
        <v>2.0512820512820515</v>
      </c>
      <c r="J19" s="2">
        <f>(15.3/200)/E19</f>
        <v>1.9615384615384615</v>
      </c>
      <c r="K19" s="2">
        <f t="shared" si="27"/>
        <v>0.96153846153846145</v>
      </c>
      <c r="L19" s="2">
        <v>0.39</v>
      </c>
      <c r="M19" s="2">
        <f t="shared" si="28"/>
        <v>64.662400000000005</v>
      </c>
      <c r="N19" s="2">
        <f t="shared" ref="N19:N24" si="31">(((H19^(((2*G19)+3)/3))*(D19^G19)*(1/F19))/((Q19*I19)^(2*G19/3)))^(1/G19)</f>
        <v>0.43475350950186098</v>
      </c>
      <c r="O19" s="2">
        <f t="shared" si="17"/>
        <v>148.73347445565179</v>
      </c>
      <c r="P19" s="5">
        <f t="shared" si="18"/>
        <v>1.2371950314247538E-3</v>
      </c>
      <c r="Q19" s="5">
        <f t="shared" si="19"/>
        <v>863.28</v>
      </c>
      <c r="R19" s="2">
        <f t="shared" ref="R19:R24" si="32">F19*((M19/D19)^(G19))</f>
        <v>808.28000000000009</v>
      </c>
      <c r="S19" s="2">
        <f t="shared" si="20"/>
        <v>4599348.5711360006</v>
      </c>
      <c r="T19" s="2">
        <f t="shared" si="21"/>
        <v>1.0680457267283614</v>
      </c>
      <c r="U19" s="12">
        <f t="shared" si="22"/>
        <v>6.3710499490316E-2</v>
      </c>
      <c r="V19" s="2">
        <f t="shared" si="23"/>
        <v>5327.7599054026514</v>
      </c>
      <c r="W19" s="2">
        <f t="shared" si="24"/>
        <v>5690.2911999999997</v>
      </c>
      <c r="X19" s="2">
        <f t="shared" ref="X19:X24" si="33">(T19*I19)^((1)/((2*G19)+3))</f>
        <v>1.1698307832990829</v>
      </c>
      <c r="Y19" s="2">
        <f t="shared" si="25"/>
        <v>3.1813012051940346</v>
      </c>
      <c r="Z19" s="2">
        <f t="shared" si="29"/>
        <v>0.73072490472870566</v>
      </c>
      <c r="AA19" s="2">
        <f t="shared" si="30"/>
        <v>9.8807615795877421E-2</v>
      </c>
    </row>
    <row r="20" spans="1:27" x14ac:dyDescent="0.3">
      <c r="A20" s="2" t="s">
        <v>57</v>
      </c>
      <c r="B20" s="1">
        <v>9.81</v>
      </c>
      <c r="C20" s="2">
        <v>1100</v>
      </c>
      <c r="D20" s="18">
        <f>10/100</f>
        <v>0.1</v>
      </c>
      <c r="E20" s="18">
        <f t="shared" si="26"/>
        <v>3.9E-2</v>
      </c>
      <c r="F20" s="2">
        <v>1</v>
      </c>
      <c r="G20" s="8">
        <v>1</v>
      </c>
      <c r="H20" s="2">
        <v>55</v>
      </c>
      <c r="I20" s="4">
        <f t="shared" si="16"/>
        <v>2.5641025641025643</v>
      </c>
      <c r="J20" s="2">
        <f>(16.3/200)/E20</f>
        <v>2.0897435897435899</v>
      </c>
      <c r="K20" s="2">
        <f t="shared" si="27"/>
        <v>1.0897435897435899</v>
      </c>
      <c r="L20" s="2">
        <v>0.34</v>
      </c>
      <c r="M20" s="2">
        <f t="shared" si="28"/>
        <v>102.41000000000003</v>
      </c>
      <c r="N20" s="2">
        <f t="shared" si="31"/>
        <v>0.40358940701556101</v>
      </c>
      <c r="O20" s="2">
        <f t="shared" si="17"/>
        <v>253.74798797940565</v>
      </c>
      <c r="P20" s="5">
        <f t="shared" si="18"/>
        <v>9.7646714188067557E-4</v>
      </c>
      <c r="Q20" s="5">
        <f t="shared" si="19"/>
        <v>1079.1000000000001</v>
      </c>
      <c r="R20" s="2">
        <f t="shared" si="32"/>
        <v>1024.1000000000001</v>
      </c>
      <c r="S20" s="2">
        <f t="shared" si="20"/>
        <v>11536588.910000006</v>
      </c>
      <c r="T20" s="2">
        <f t="shared" si="21"/>
        <v>1.0537056928034372</v>
      </c>
      <c r="U20" s="12">
        <f t="shared" si="22"/>
        <v>5.09683995922528E-2</v>
      </c>
      <c r="V20" s="2">
        <f t="shared" si="23"/>
        <v>10690.935881753318</v>
      </c>
      <c r="W20" s="2">
        <f t="shared" si="24"/>
        <v>11265.100000000004</v>
      </c>
      <c r="X20" s="2">
        <f t="shared" si="33"/>
        <v>1.2199188552333775</v>
      </c>
      <c r="Y20" s="2">
        <f t="shared" si="25"/>
        <v>3.6915730375968767</v>
      </c>
      <c r="Z20" s="2">
        <f t="shared" si="29"/>
        <v>0.67195178546112244</v>
      </c>
      <c r="AA20" s="2">
        <f t="shared" si="30"/>
        <v>7.3379892184647397E-2</v>
      </c>
    </row>
    <row r="21" spans="1:27" x14ac:dyDescent="0.3">
      <c r="A21" s="2" t="s">
        <v>57</v>
      </c>
      <c r="B21" s="2">
        <v>9.81</v>
      </c>
      <c r="C21" s="2">
        <v>1100</v>
      </c>
      <c r="D21" s="18">
        <f>12/100</f>
        <v>0.12</v>
      </c>
      <c r="E21" s="18">
        <f t="shared" si="26"/>
        <v>3.9E-2</v>
      </c>
      <c r="F21" s="2">
        <v>1</v>
      </c>
      <c r="G21" s="8">
        <v>1</v>
      </c>
      <c r="H21" s="2">
        <v>55</v>
      </c>
      <c r="I21" s="4">
        <f t="shared" si="16"/>
        <v>3.0769230769230766</v>
      </c>
      <c r="J21" s="2">
        <f>(18.2/200)/E21</f>
        <v>2.3333333333333335</v>
      </c>
      <c r="K21" s="2">
        <f t="shared" si="27"/>
        <v>1.3333333333333335</v>
      </c>
      <c r="L21" s="2">
        <v>0.32</v>
      </c>
      <c r="M21" s="2">
        <f t="shared" si="28"/>
        <v>148.79039999999998</v>
      </c>
      <c r="N21" s="2">
        <f t="shared" si="31"/>
        <v>0.37979217287637268</v>
      </c>
      <c r="O21" s="2">
        <f t="shared" si="17"/>
        <v>391.76794738324742</v>
      </c>
      <c r="P21" s="5">
        <f t="shared" si="18"/>
        <v>8.0650364539647734E-4</v>
      </c>
      <c r="Q21" s="5">
        <f t="shared" si="19"/>
        <v>1294.9199999999998</v>
      </c>
      <c r="R21" s="2">
        <f t="shared" si="32"/>
        <v>1239.9199999999998</v>
      </c>
      <c r="S21" s="2">
        <f t="shared" si="20"/>
        <v>24352441.445375994</v>
      </c>
      <c r="T21" s="2">
        <f t="shared" si="21"/>
        <v>1.0443577004968063</v>
      </c>
      <c r="U21" s="12">
        <f t="shared" si="22"/>
        <v>4.2473666326877338E-2</v>
      </c>
      <c r="V21" s="2">
        <f t="shared" si="23"/>
        <v>18806.135858103971</v>
      </c>
      <c r="W21" s="2">
        <f t="shared" si="24"/>
        <v>19640.332799999996</v>
      </c>
      <c r="X21" s="2">
        <f t="shared" si="33"/>
        <v>1.2629704298750537</v>
      </c>
      <c r="Y21" s="2">
        <f t="shared" si="25"/>
        <v>4.1686838779493289</v>
      </c>
      <c r="Z21" s="2">
        <f t="shared" si="29"/>
        <v>0.62692217994591959</v>
      </c>
      <c r="AA21" s="2">
        <f t="shared" si="30"/>
        <v>5.7544268617632163E-2</v>
      </c>
    </row>
    <row r="22" spans="1:27" x14ac:dyDescent="0.3">
      <c r="A22" s="2" t="s">
        <v>57</v>
      </c>
      <c r="B22" s="2">
        <v>9.81</v>
      </c>
      <c r="C22" s="2">
        <v>1100</v>
      </c>
      <c r="D22" s="18">
        <f>14/100</f>
        <v>0.14000000000000001</v>
      </c>
      <c r="E22" s="18">
        <f t="shared" si="26"/>
        <v>3.9E-2</v>
      </c>
      <c r="F22" s="2">
        <v>1</v>
      </c>
      <c r="G22" s="8">
        <v>1</v>
      </c>
      <c r="H22" s="2">
        <v>55</v>
      </c>
      <c r="I22" s="4">
        <f t="shared" si="16"/>
        <v>3.5897435897435899</v>
      </c>
      <c r="J22" s="2">
        <f>(18.3/200)/E22</f>
        <v>2.3461538461538463</v>
      </c>
      <c r="K22" s="2">
        <f t="shared" si="27"/>
        <v>1.3461538461538463</v>
      </c>
      <c r="L22" s="2">
        <v>0.3</v>
      </c>
      <c r="M22" s="2">
        <f t="shared" si="28"/>
        <v>203.80360000000005</v>
      </c>
      <c r="N22" s="2">
        <f t="shared" si="31"/>
        <v>0.36076999765873746</v>
      </c>
      <c r="O22" s="2">
        <f t="shared" si="17"/>
        <v>564.9128290118615</v>
      </c>
      <c r="P22" s="5">
        <f t="shared" si="18"/>
        <v>6.869358539299599E-4</v>
      </c>
      <c r="Q22" s="5">
        <f t="shared" si="19"/>
        <v>1510.7400000000002</v>
      </c>
      <c r="R22" s="2">
        <f t="shared" si="32"/>
        <v>1455.7400000000002</v>
      </c>
      <c r="S22" s="2">
        <f t="shared" si="20"/>
        <v>45689498.110256024</v>
      </c>
      <c r="T22" s="2">
        <f t="shared" si="21"/>
        <v>1.0377814719661478</v>
      </c>
      <c r="U22" s="12">
        <f t="shared" si="22"/>
        <v>3.6405999708751996E-2</v>
      </c>
      <c r="V22" s="2">
        <f t="shared" si="23"/>
        <v>30243.124634454649</v>
      </c>
      <c r="W22" s="2">
        <f t="shared" si="24"/>
        <v>31385.754400000013</v>
      </c>
      <c r="X22" s="2">
        <f t="shared" si="33"/>
        <v>1.3008699100005936</v>
      </c>
      <c r="Y22" s="2">
        <f t="shared" si="25"/>
        <v>4.6198742637250305</v>
      </c>
      <c r="Z22" s="2">
        <f t="shared" si="29"/>
        <v>0.59092486334681649</v>
      </c>
      <c r="AA22" s="2">
        <f t="shared" si="30"/>
        <v>4.6853246449186668E-2</v>
      </c>
    </row>
    <row r="23" spans="1:27" x14ac:dyDescent="0.3">
      <c r="A23" s="2" t="s">
        <v>57</v>
      </c>
      <c r="B23" s="1">
        <v>9.81</v>
      </c>
      <c r="C23" s="2">
        <v>1100</v>
      </c>
      <c r="D23" s="18">
        <f>2/100</f>
        <v>0.02</v>
      </c>
      <c r="E23" s="18">
        <f t="shared" si="26"/>
        <v>3.9E-2</v>
      </c>
      <c r="F23" s="2">
        <v>1</v>
      </c>
      <c r="G23" s="8">
        <v>1</v>
      </c>
      <c r="H23" s="2">
        <v>55</v>
      </c>
      <c r="I23" s="4">
        <f t="shared" si="16"/>
        <v>0.51282051282051289</v>
      </c>
      <c r="J23" s="2">
        <f>(9.2/200)/E23</f>
        <v>1.1794871794871795</v>
      </c>
      <c r="K23" s="2">
        <f t="shared" si="27"/>
        <v>0.17948717948717952</v>
      </c>
      <c r="L23" s="2">
        <v>0.78</v>
      </c>
      <c r="M23" s="2">
        <f t="shared" si="28"/>
        <v>3.2164000000000001</v>
      </c>
      <c r="N23" s="2">
        <f t="shared" si="31"/>
        <v>0.69012817833012108</v>
      </c>
      <c r="O23" s="2">
        <f t="shared" si="17"/>
        <v>4.6605834988256971</v>
      </c>
      <c r="P23" s="5">
        <f t="shared" si="18"/>
        <v>6.2181320731252336E-3</v>
      </c>
      <c r="Q23" s="5">
        <f t="shared" si="19"/>
        <v>215.82</v>
      </c>
      <c r="R23" s="2">
        <f t="shared" si="32"/>
        <v>160.82</v>
      </c>
      <c r="S23" s="2">
        <f t="shared" si="20"/>
        <v>11379.751856000001</v>
      </c>
      <c r="T23" s="2">
        <f t="shared" si="21"/>
        <v>1.3419972640218878</v>
      </c>
      <c r="U23" s="12">
        <f t="shared" si="22"/>
        <v>0.254841997961264</v>
      </c>
      <c r="V23" s="2">
        <f t="shared" si="23"/>
        <v>52.727976350662594</v>
      </c>
      <c r="W23" s="2">
        <f t="shared" si="24"/>
        <v>70.760800000000003</v>
      </c>
      <c r="X23" s="2">
        <f t="shared" si="33"/>
        <v>0.92799022973699241</v>
      </c>
      <c r="Y23" s="2">
        <f t="shared" si="25"/>
        <v>1.2625002199381781</v>
      </c>
      <c r="Z23" s="2">
        <f t="shared" si="29"/>
        <v>1.1612164844375297</v>
      </c>
      <c r="AA23" s="2">
        <f t="shared" si="30"/>
        <v>0.62738925302738191</v>
      </c>
    </row>
    <row r="24" spans="1:27" x14ac:dyDescent="0.3">
      <c r="A24" s="2" t="s">
        <v>57</v>
      </c>
      <c r="B24" s="1">
        <v>9.81</v>
      </c>
      <c r="C24" s="2">
        <v>1100</v>
      </c>
      <c r="D24" s="18">
        <f>9/100</f>
        <v>0.09</v>
      </c>
      <c r="E24" s="18">
        <f t="shared" si="26"/>
        <v>3.9E-2</v>
      </c>
      <c r="F24" s="2">
        <v>1</v>
      </c>
      <c r="G24" s="8">
        <v>1</v>
      </c>
      <c r="H24" s="2">
        <v>55</v>
      </c>
      <c r="I24" s="4">
        <f t="shared" si="16"/>
        <v>2.3076923076923075</v>
      </c>
      <c r="J24" s="2">
        <f>(15.25/200)/E24</f>
        <v>1.9551282051282051</v>
      </c>
      <c r="K24" s="2">
        <f t="shared" si="27"/>
        <v>0.95512820512820507</v>
      </c>
      <c r="L24" s="2">
        <v>0.35</v>
      </c>
      <c r="M24" s="2">
        <f t="shared" si="28"/>
        <v>82.457099999999997</v>
      </c>
      <c r="N24" s="2">
        <f t="shared" si="31"/>
        <v>0.41801537484579798</v>
      </c>
      <c r="O24" s="2">
        <f t="shared" si="17"/>
        <v>197.25853392454204</v>
      </c>
      <c r="P24" s="5">
        <f t="shared" si="18"/>
        <v>1.0914766587716521E-3</v>
      </c>
      <c r="Q24" s="5">
        <f t="shared" si="19"/>
        <v>971.18999999999994</v>
      </c>
      <c r="R24" s="2">
        <f t="shared" si="32"/>
        <v>916.19</v>
      </c>
      <c r="S24" s="2">
        <f t="shared" si="20"/>
        <v>7479090.6744509991</v>
      </c>
      <c r="T24" s="2">
        <f t="shared" si="21"/>
        <v>1.0600312162324408</v>
      </c>
      <c r="U24" s="12">
        <f t="shared" si="22"/>
        <v>5.6631555102503117E-2</v>
      </c>
      <c r="V24" s="2">
        <f t="shared" si="23"/>
        <v>7700.9551935779809</v>
      </c>
      <c r="W24" s="2">
        <f t="shared" si="24"/>
        <v>8163.2528999999986</v>
      </c>
      <c r="X24" s="2">
        <f t="shared" si="33"/>
        <v>1.1959122415829635</v>
      </c>
      <c r="Y24" s="2">
        <f t="shared" si="25"/>
        <v>3.4411727221571531</v>
      </c>
      <c r="Z24" s="2">
        <f t="shared" si="29"/>
        <v>0.69919993160011107</v>
      </c>
      <c r="AA24" s="2">
        <f t="shared" si="30"/>
        <v>8.4447550473898486E-2</v>
      </c>
    </row>
    <row r="25" spans="1:27" ht="15" thickBot="1" x14ac:dyDescent="0.35"/>
    <row r="26" spans="1:27" ht="15" thickBot="1" x14ac:dyDescent="0.35">
      <c r="A26" s="33" t="s">
        <v>23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</row>
    <row r="27" spans="1:27" ht="20.399999999999999" thickBot="1" x14ac:dyDescent="0.35">
      <c r="A27" s="6" t="s">
        <v>37</v>
      </c>
      <c r="B27" s="27" t="s">
        <v>6</v>
      </c>
      <c r="C27" s="27" t="s">
        <v>8</v>
      </c>
      <c r="D27" s="27" t="s">
        <v>9</v>
      </c>
      <c r="E27" s="27" t="s">
        <v>14</v>
      </c>
      <c r="F27" s="27" t="s">
        <v>7</v>
      </c>
      <c r="G27" s="27" t="s">
        <v>19</v>
      </c>
      <c r="H27" s="27" t="s">
        <v>4</v>
      </c>
      <c r="I27" s="28" t="s">
        <v>2</v>
      </c>
      <c r="J27" s="27" t="s">
        <v>38</v>
      </c>
      <c r="K27" s="27" t="s">
        <v>39</v>
      </c>
      <c r="L27" s="27" t="s">
        <v>40</v>
      </c>
      <c r="M27" s="27" t="s">
        <v>10</v>
      </c>
      <c r="N27" s="27" t="s">
        <v>15</v>
      </c>
      <c r="O27" s="27" t="s">
        <v>16</v>
      </c>
      <c r="P27" s="29" t="s">
        <v>17</v>
      </c>
      <c r="Q27" s="30" t="s">
        <v>3</v>
      </c>
      <c r="R27" s="27" t="s">
        <v>21</v>
      </c>
      <c r="S27" s="27" t="s">
        <v>13</v>
      </c>
      <c r="T27" s="27" t="s">
        <v>0</v>
      </c>
      <c r="U27" s="27" t="s">
        <v>1</v>
      </c>
      <c r="V27" s="27" t="s">
        <v>12</v>
      </c>
      <c r="W27" s="27" t="s">
        <v>11</v>
      </c>
      <c r="X27" s="27" t="s">
        <v>20</v>
      </c>
      <c r="Y27" s="27" t="s">
        <v>5</v>
      </c>
      <c r="Z27" s="27" t="s">
        <v>27</v>
      </c>
      <c r="AA27" s="27" t="s">
        <v>28</v>
      </c>
    </row>
    <row r="28" spans="1:27" x14ac:dyDescent="0.3">
      <c r="A28" s="2" t="s">
        <v>58</v>
      </c>
      <c r="B28" s="2">
        <v>9.81</v>
      </c>
      <c r="C28" s="2">
        <v>1100</v>
      </c>
      <c r="D28" s="18">
        <f>5/100</f>
        <v>0.05</v>
      </c>
      <c r="E28" s="18">
        <f>7.8/200</f>
        <v>3.9E-2</v>
      </c>
      <c r="F28" s="2">
        <v>1</v>
      </c>
      <c r="G28" s="8">
        <v>1</v>
      </c>
      <c r="H28" s="2">
        <v>200</v>
      </c>
      <c r="I28" s="4">
        <f t="shared" ref="I28:I34" si="34">D28/E28</f>
        <v>1.2820512820512822</v>
      </c>
      <c r="J28" s="2">
        <f>(11.4/200)/E28 - 0.35</f>
        <v>1.1115384615384616</v>
      </c>
      <c r="K28" s="2">
        <f>J28-1</f>
        <v>0.11153846153846159</v>
      </c>
      <c r="L28" s="2">
        <v>0.77</v>
      </c>
      <c r="M28" s="2">
        <f>(((Q28-H28)*(D28^G28))/(F28))^(1/G28)</f>
        <v>16.977500000000003</v>
      </c>
      <c r="N28" s="2">
        <f t="shared" ref="N28:N34" si="35">(((H28^(((2*G28)+3)/3))*(D28^G28)*(1/F28))/((Q28*I28)^(2*G28/3)))^(1/G28)</f>
        <v>4.3724877455464526</v>
      </c>
      <c r="O28" s="2">
        <f t="shared" ref="O28:O34" si="36">M28/N28</f>
        <v>3.8828010478227735</v>
      </c>
      <c r="P28" s="5">
        <f t="shared" ref="P28:P34" si="37">(F28+(H28*D28/M28))/Q28</f>
        <v>2.9450743631276683E-3</v>
      </c>
      <c r="Q28" s="5">
        <f t="shared" ref="Q28:Q34" si="38">B28*C28*D28</f>
        <v>539.55000000000007</v>
      </c>
      <c r="R28" s="2">
        <f t="shared" ref="R28:R34" si="39">F28*((M28/D28)^(G28))</f>
        <v>339.55</v>
      </c>
      <c r="S28" s="2">
        <f t="shared" ref="S28:S34" si="40">C28*M28*M28</f>
        <v>317059.05687500013</v>
      </c>
      <c r="T28" s="2">
        <f t="shared" ref="T28:T34" si="41">Q28/R28</f>
        <v>1.589014872625534</v>
      </c>
      <c r="U28" s="12">
        <f t="shared" ref="U28:U34" si="42">H28/Q28</f>
        <v>0.37067926976183851</v>
      </c>
      <c r="V28" s="2">
        <f t="shared" ref="V28:V34" si="43">S28/Q28</f>
        <v>587.63609836901139</v>
      </c>
      <c r="W28" s="2">
        <f t="shared" ref="W28:W34" si="44">S28/R28</f>
        <v>933.76250000000039</v>
      </c>
      <c r="X28" s="2">
        <f t="shared" ref="X28:X34" si="45">(T28*I28)^((1)/((2*G28)+3))</f>
        <v>1.1529399072322801</v>
      </c>
      <c r="Y28" s="2">
        <f t="shared" ref="Y28:Y34" si="46">((1/U28)*I28)^(1/3)</f>
        <v>1.5122921558394795</v>
      </c>
      <c r="Z28" s="2">
        <f>((1/T28)*(1/I28))^((2)/((2*G28)+3))</f>
        <v>0.7522923685544779</v>
      </c>
      <c r="AA28" s="2">
        <f>((U28)*(1/I28))^(2/3)</f>
        <v>0.43724877455464511</v>
      </c>
    </row>
    <row r="29" spans="1:27" x14ac:dyDescent="0.3">
      <c r="A29" s="2" t="s">
        <v>58</v>
      </c>
      <c r="B29" s="2">
        <v>9.81</v>
      </c>
      <c r="C29" s="2">
        <v>1100</v>
      </c>
      <c r="D29" s="18">
        <f>6/100</f>
        <v>0.06</v>
      </c>
      <c r="E29" s="18">
        <f t="shared" ref="E29:E34" si="47">7.8/200</f>
        <v>3.9E-2</v>
      </c>
      <c r="F29" s="2">
        <v>1</v>
      </c>
      <c r="G29" s="8">
        <v>1</v>
      </c>
      <c r="H29" s="2">
        <v>200</v>
      </c>
      <c r="I29" s="4">
        <f t="shared" si="34"/>
        <v>1.5384615384615383</v>
      </c>
      <c r="J29" s="2">
        <f>(13.4/200)/E29-0.5</f>
        <v>1.2179487179487181</v>
      </c>
      <c r="K29" s="2">
        <f t="shared" ref="K29:K34" si="48">J29-1</f>
        <v>0.21794871794871806</v>
      </c>
      <c r="L29" s="2">
        <v>0.67</v>
      </c>
      <c r="M29" s="2">
        <f t="shared" ref="M29:M34" si="49">(((Q29-H29)*(D29^G29))/(F29))^(1/G29)</f>
        <v>26.847599999999993</v>
      </c>
      <c r="N29" s="2">
        <f t="shared" si="35"/>
        <v>4.1146685043999982</v>
      </c>
      <c r="O29" s="2">
        <f t="shared" si="36"/>
        <v>6.5248512659745641</v>
      </c>
      <c r="P29" s="5">
        <f t="shared" si="37"/>
        <v>2.2348366334420961E-3</v>
      </c>
      <c r="Q29" s="5">
        <f t="shared" si="38"/>
        <v>647.45999999999992</v>
      </c>
      <c r="R29" s="2">
        <f t="shared" si="39"/>
        <v>447.45999999999992</v>
      </c>
      <c r="S29" s="2">
        <f t="shared" si="40"/>
        <v>792872.98833599966</v>
      </c>
      <c r="T29" s="2">
        <f t="shared" si="41"/>
        <v>1.4469673266884191</v>
      </c>
      <c r="U29" s="12">
        <f t="shared" si="42"/>
        <v>0.30889939146819884</v>
      </c>
      <c r="V29" s="2">
        <f t="shared" si="43"/>
        <v>1224.589918042813</v>
      </c>
      <c r="W29" s="2">
        <f t="shared" si="44"/>
        <v>1771.9415999999997</v>
      </c>
      <c r="X29" s="2">
        <f t="shared" si="45"/>
        <v>1.1735702013171729</v>
      </c>
      <c r="Y29" s="2">
        <f t="shared" si="46"/>
        <v>1.7077456858069355</v>
      </c>
      <c r="Z29" s="2">
        <f t="shared" ref="Z29:Z34" si="50">((1/T29)*(1/I29))^((2)/((2*G29)+3))</f>
        <v>0.7260756174017321</v>
      </c>
      <c r="AA29" s="2">
        <f t="shared" ref="AA29:AA34" si="51">((U29)*(1/I29))^(2/3)</f>
        <v>0.34288904203333292</v>
      </c>
    </row>
    <row r="30" spans="1:27" x14ac:dyDescent="0.3">
      <c r="A30" s="2" t="s">
        <v>58</v>
      </c>
      <c r="B30" s="1">
        <v>9.81</v>
      </c>
      <c r="C30" s="2">
        <v>1100</v>
      </c>
      <c r="D30" s="18">
        <f>8/100</f>
        <v>0.08</v>
      </c>
      <c r="E30" s="18">
        <f t="shared" si="47"/>
        <v>3.9E-2</v>
      </c>
      <c r="F30" s="2">
        <v>1</v>
      </c>
      <c r="G30" s="8">
        <v>1</v>
      </c>
      <c r="H30" s="2">
        <v>200</v>
      </c>
      <c r="I30" s="4">
        <f t="shared" si="34"/>
        <v>2.0512820512820515</v>
      </c>
      <c r="J30" s="2">
        <f>(15.3/200)/E30-0.55</f>
        <v>1.4115384615384614</v>
      </c>
      <c r="K30" s="2">
        <f t="shared" si="48"/>
        <v>0.41153846153846141</v>
      </c>
      <c r="L30" s="2">
        <v>0.6</v>
      </c>
      <c r="M30" s="2">
        <f t="shared" si="49"/>
        <v>53.062399999999997</v>
      </c>
      <c r="N30" s="2">
        <f t="shared" si="35"/>
        <v>3.7384244360115262</v>
      </c>
      <c r="O30" s="2">
        <f t="shared" si="36"/>
        <v>14.193786957109543</v>
      </c>
      <c r="P30" s="5">
        <f t="shared" si="37"/>
        <v>1.5076589072488241E-3</v>
      </c>
      <c r="Q30" s="5">
        <f t="shared" si="38"/>
        <v>863.28</v>
      </c>
      <c r="R30" s="2">
        <f t="shared" si="39"/>
        <v>663.28</v>
      </c>
      <c r="S30" s="2">
        <f t="shared" si="40"/>
        <v>3097180.1231359998</v>
      </c>
      <c r="T30" s="2">
        <f t="shared" si="41"/>
        <v>1.3015317814497649</v>
      </c>
      <c r="U30" s="12">
        <f t="shared" si="42"/>
        <v>0.23167454360114911</v>
      </c>
      <c r="V30" s="2">
        <f t="shared" si="43"/>
        <v>3587.6889573904177</v>
      </c>
      <c r="W30" s="2">
        <f t="shared" si="44"/>
        <v>4669.4911999999995</v>
      </c>
      <c r="X30" s="2">
        <f t="shared" si="45"/>
        <v>1.217015281420893</v>
      </c>
      <c r="Y30" s="2">
        <f t="shared" si="46"/>
        <v>2.0687865686666851</v>
      </c>
      <c r="Z30" s="2">
        <f t="shared" si="50"/>
        <v>0.6751619161369854</v>
      </c>
      <c r="AA30" s="2">
        <f t="shared" si="51"/>
        <v>0.23365152725072036</v>
      </c>
    </row>
    <row r="31" spans="1:27" x14ac:dyDescent="0.3">
      <c r="A31" s="2" t="s">
        <v>58</v>
      </c>
      <c r="B31" s="1">
        <v>9.81</v>
      </c>
      <c r="C31" s="2">
        <v>1100</v>
      </c>
      <c r="D31" s="18">
        <f>10/100</f>
        <v>0.1</v>
      </c>
      <c r="E31" s="18">
        <f t="shared" si="47"/>
        <v>3.9E-2</v>
      </c>
      <c r="F31" s="2">
        <v>1</v>
      </c>
      <c r="G31" s="8">
        <v>1</v>
      </c>
      <c r="H31" s="2">
        <v>200</v>
      </c>
      <c r="I31" s="4">
        <f t="shared" si="34"/>
        <v>2.5641025641025643</v>
      </c>
      <c r="J31" s="2">
        <f>(16.3/200)/E31-0.5</f>
        <v>1.5897435897435899</v>
      </c>
      <c r="K31" s="2">
        <f t="shared" si="48"/>
        <v>0.58974358974358987</v>
      </c>
      <c r="L31" s="2">
        <v>0.51</v>
      </c>
      <c r="M31" s="2">
        <f t="shared" si="49"/>
        <v>87.910000000000025</v>
      </c>
      <c r="N31" s="2">
        <f t="shared" si="35"/>
        <v>3.4704458234992503</v>
      </c>
      <c r="O31" s="2">
        <f t="shared" si="36"/>
        <v>25.331039431516142</v>
      </c>
      <c r="P31" s="5">
        <f t="shared" si="37"/>
        <v>1.1375270162666362E-3</v>
      </c>
      <c r="Q31" s="5">
        <f t="shared" si="38"/>
        <v>1079.1000000000001</v>
      </c>
      <c r="R31" s="2">
        <f t="shared" si="39"/>
        <v>879.10000000000025</v>
      </c>
      <c r="S31" s="2">
        <f t="shared" si="40"/>
        <v>8500984.9100000057</v>
      </c>
      <c r="T31" s="2">
        <f t="shared" si="41"/>
        <v>1.227505403253327</v>
      </c>
      <c r="U31" s="12">
        <f t="shared" si="42"/>
        <v>0.18533963488091926</v>
      </c>
      <c r="V31" s="2">
        <f t="shared" si="43"/>
        <v>7877.8471967380265</v>
      </c>
      <c r="W31" s="2">
        <f t="shared" si="44"/>
        <v>9670.100000000004</v>
      </c>
      <c r="X31" s="2">
        <f t="shared" si="45"/>
        <v>1.2577425718572295</v>
      </c>
      <c r="Y31" s="2">
        <f t="shared" si="46"/>
        <v>2.400614159062846</v>
      </c>
      <c r="Z31" s="2">
        <f t="shared" si="50"/>
        <v>0.63214466611516917</v>
      </c>
      <c r="AA31" s="2">
        <f t="shared" si="51"/>
        <v>0.1735222911749624</v>
      </c>
    </row>
    <row r="32" spans="1:27" x14ac:dyDescent="0.3">
      <c r="A32" s="2" t="s">
        <v>58</v>
      </c>
      <c r="B32" s="2">
        <v>9.81</v>
      </c>
      <c r="C32" s="2">
        <v>1100</v>
      </c>
      <c r="D32" s="18">
        <f>12/100</f>
        <v>0.12</v>
      </c>
      <c r="E32" s="18">
        <f t="shared" si="47"/>
        <v>3.9E-2</v>
      </c>
      <c r="F32" s="2">
        <v>1</v>
      </c>
      <c r="G32" s="8">
        <v>1</v>
      </c>
      <c r="H32" s="2">
        <v>200</v>
      </c>
      <c r="I32" s="4">
        <f t="shared" si="34"/>
        <v>3.0769230769230766</v>
      </c>
      <c r="J32" s="2">
        <f>(18.2/200)/E32-0.55</f>
        <v>1.7833333333333334</v>
      </c>
      <c r="K32" s="2">
        <f t="shared" si="48"/>
        <v>0.78333333333333344</v>
      </c>
      <c r="L32" s="2">
        <v>0.46</v>
      </c>
      <c r="M32" s="2">
        <f t="shared" si="49"/>
        <v>131.39039999999997</v>
      </c>
      <c r="N32" s="2">
        <f t="shared" si="35"/>
        <v>3.2658145561924852</v>
      </c>
      <c r="O32" s="2">
        <f t="shared" si="36"/>
        <v>40.232045555331247</v>
      </c>
      <c r="P32" s="5">
        <f t="shared" si="37"/>
        <v>9.1330873488474045E-4</v>
      </c>
      <c r="Q32" s="5">
        <f t="shared" si="38"/>
        <v>1294.9199999999998</v>
      </c>
      <c r="R32" s="2">
        <f t="shared" si="39"/>
        <v>1094.9199999999998</v>
      </c>
      <c r="S32" s="2">
        <f t="shared" si="40"/>
        <v>18989780.933375992</v>
      </c>
      <c r="T32" s="2">
        <f t="shared" si="41"/>
        <v>1.182661746976948</v>
      </c>
      <c r="U32" s="12">
        <f t="shared" si="42"/>
        <v>0.15444969573409942</v>
      </c>
      <c r="V32" s="2">
        <f t="shared" si="43"/>
        <v>14664.829436085622</v>
      </c>
      <c r="W32" s="2">
        <f t="shared" si="44"/>
        <v>17343.532799999994</v>
      </c>
      <c r="X32" s="2">
        <f t="shared" si="45"/>
        <v>1.2947783763072267</v>
      </c>
      <c r="Y32" s="2">
        <f t="shared" si="46"/>
        <v>2.7108772981440841</v>
      </c>
      <c r="Z32" s="2">
        <f t="shared" si="50"/>
        <v>0.59649818211301564</v>
      </c>
      <c r="AA32" s="2">
        <f t="shared" si="51"/>
        <v>0.13607560650802017</v>
      </c>
    </row>
    <row r="33" spans="1:27" x14ac:dyDescent="0.3">
      <c r="A33" s="2" t="s">
        <v>58</v>
      </c>
      <c r="B33" s="2">
        <v>9.81</v>
      </c>
      <c r="C33" s="2">
        <v>1100</v>
      </c>
      <c r="D33" s="18">
        <f>14/100</f>
        <v>0.14000000000000001</v>
      </c>
      <c r="E33" s="18">
        <f t="shared" si="47"/>
        <v>3.9E-2</v>
      </c>
      <c r="F33" s="2">
        <v>1</v>
      </c>
      <c r="G33" s="8">
        <v>1</v>
      </c>
      <c r="H33" s="2">
        <v>200</v>
      </c>
      <c r="I33" s="4">
        <f t="shared" si="34"/>
        <v>3.5897435897435899</v>
      </c>
      <c r="J33" s="2">
        <f>(18.3/200)/E33-0.5</f>
        <v>1.8461538461538463</v>
      </c>
      <c r="K33" s="2">
        <f t="shared" si="48"/>
        <v>0.84615384615384626</v>
      </c>
      <c r="L33" s="2">
        <v>0.43</v>
      </c>
      <c r="M33" s="2">
        <f t="shared" si="49"/>
        <v>183.50360000000006</v>
      </c>
      <c r="N33" s="2">
        <f t="shared" si="35"/>
        <v>3.1022437899870985</v>
      </c>
      <c r="O33" s="2">
        <f t="shared" si="36"/>
        <v>59.151895345002274</v>
      </c>
      <c r="P33" s="5">
        <f t="shared" si="37"/>
        <v>7.6292781177045006E-4</v>
      </c>
      <c r="Q33" s="5">
        <f t="shared" si="38"/>
        <v>1510.7400000000002</v>
      </c>
      <c r="R33" s="2">
        <f t="shared" si="39"/>
        <v>1310.7400000000002</v>
      </c>
      <c r="S33" s="2">
        <f t="shared" si="40"/>
        <v>37040928.334256031</v>
      </c>
      <c r="T33" s="2">
        <f t="shared" si="41"/>
        <v>1.1525855623540899</v>
      </c>
      <c r="U33" s="12">
        <f t="shared" si="42"/>
        <v>0.1323854534863709</v>
      </c>
      <c r="V33" s="2">
        <f t="shared" si="43"/>
        <v>24518.400475433249</v>
      </c>
      <c r="W33" s="2">
        <f t="shared" si="44"/>
        <v>28259.554400000019</v>
      </c>
      <c r="X33" s="2">
        <f t="shared" si="45"/>
        <v>1.3284564469515969</v>
      </c>
      <c r="Y33" s="2">
        <f t="shared" si="46"/>
        <v>3.0042844764648122</v>
      </c>
      <c r="Z33" s="2">
        <f t="shared" si="50"/>
        <v>0.56663755973042829</v>
      </c>
      <c r="AA33" s="2">
        <f t="shared" si="51"/>
        <v>0.11079442107096779</v>
      </c>
    </row>
    <row r="34" spans="1:27" x14ac:dyDescent="0.3">
      <c r="A34" s="2" t="s">
        <v>58</v>
      </c>
      <c r="B34" s="1">
        <v>9.81</v>
      </c>
      <c r="C34" s="2">
        <v>1100</v>
      </c>
      <c r="D34" s="18">
        <f>9/100</f>
        <v>0.09</v>
      </c>
      <c r="E34" s="18">
        <f t="shared" si="47"/>
        <v>3.9E-2</v>
      </c>
      <c r="F34" s="2">
        <v>1</v>
      </c>
      <c r="G34" s="8">
        <v>1</v>
      </c>
      <c r="H34" s="2">
        <v>200</v>
      </c>
      <c r="I34" s="4">
        <f t="shared" si="34"/>
        <v>2.3076923076923075</v>
      </c>
      <c r="J34" s="2">
        <f>(15.25/200)/E34-0.5</f>
        <v>1.4551282051282051</v>
      </c>
      <c r="K34" s="2">
        <f t="shared" si="48"/>
        <v>0.45512820512820507</v>
      </c>
      <c r="L34" s="2">
        <v>0.53</v>
      </c>
      <c r="M34" s="2">
        <f t="shared" si="49"/>
        <v>69.407099999999986</v>
      </c>
      <c r="N34" s="2">
        <f t="shared" si="35"/>
        <v>3.5944940243095607</v>
      </c>
      <c r="O34" s="2">
        <f t="shared" si="36"/>
        <v>19.309282344218634</v>
      </c>
      <c r="P34" s="5">
        <f t="shared" si="37"/>
        <v>1.2966973119464726E-3</v>
      </c>
      <c r="Q34" s="5">
        <f t="shared" si="38"/>
        <v>971.18999999999994</v>
      </c>
      <c r="R34" s="2">
        <f t="shared" si="39"/>
        <v>771.18999999999983</v>
      </c>
      <c r="S34" s="2">
        <f t="shared" si="40"/>
        <v>5299080.0834509982</v>
      </c>
      <c r="T34" s="2">
        <f t="shared" si="41"/>
        <v>1.2593394623892946</v>
      </c>
      <c r="U34" s="12">
        <f t="shared" si="42"/>
        <v>0.20593292764546589</v>
      </c>
      <c r="V34" s="2">
        <f t="shared" si="43"/>
        <v>5456.2753770642184</v>
      </c>
      <c r="W34" s="2">
        <f t="shared" si="44"/>
        <v>6871.3028999999988</v>
      </c>
      <c r="X34" s="2">
        <f t="shared" si="45"/>
        <v>1.237838946724569</v>
      </c>
      <c r="Y34" s="2">
        <f t="shared" si="46"/>
        <v>2.2377799047879483</v>
      </c>
      <c r="Z34" s="2">
        <f t="shared" si="50"/>
        <v>0.65263703363446923</v>
      </c>
      <c r="AA34" s="2">
        <f t="shared" si="51"/>
        <v>0.19969411246164215</v>
      </c>
    </row>
    <row r="35" spans="1:27" ht="15" thickBot="1" x14ac:dyDescent="0.35"/>
    <row r="36" spans="1:27" ht="15" thickBot="1" x14ac:dyDescent="0.35">
      <c r="A36" s="33" t="s">
        <v>23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5"/>
    </row>
    <row r="37" spans="1:27" ht="20.399999999999999" thickBot="1" x14ac:dyDescent="0.35">
      <c r="A37" s="6" t="s">
        <v>37</v>
      </c>
      <c r="B37" s="27" t="s">
        <v>6</v>
      </c>
      <c r="C37" s="27" t="s">
        <v>8</v>
      </c>
      <c r="D37" s="27" t="s">
        <v>9</v>
      </c>
      <c r="E37" s="27" t="s">
        <v>14</v>
      </c>
      <c r="F37" s="27" t="s">
        <v>7</v>
      </c>
      <c r="G37" s="27" t="s">
        <v>19</v>
      </c>
      <c r="H37" s="27" t="s">
        <v>4</v>
      </c>
      <c r="I37" s="28" t="s">
        <v>2</v>
      </c>
      <c r="J37" s="27" t="s">
        <v>38</v>
      </c>
      <c r="K37" s="27" t="s">
        <v>39</v>
      </c>
      <c r="L37" s="27" t="s">
        <v>40</v>
      </c>
      <c r="M37" s="27" t="s">
        <v>10</v>
      </c>
      <c r="N37" s="27" t="s">
        <v>15</v>
      </c>
      <c r="O37" s="27" t="s">
        <v>16</v>
      </c>
      <c r="P37" s="29" t="s">
        <v>17</v>
      </c>
      <c r="Q37" s="30" t="s">
        <v>3</v>
      </c>
      <c r="R37" s="27" t="s">
        <v>21</v>
      </c>
      <c r="S37" s="27" t="s">
        <v>13</v>
      </c>
      <c r="T37" s="27" t="s">
        <v>0</v>
      </c>
      <c r="U37" s="27" t="s">
        <v>1</v>
      </c>
      <c r="V37" s="27" t="s">
        <v>12</v>
      </c>
      <c r="W37" s="27" t="s">
        <v>11</v>
      </c>
      <c r="X37" s="27" t="s">
        <v>20</v>
      </c>
      <c r="Y37" s="27" t="s">
        <v>5</v>
      </c>
      <c r="Z37" s="27" t="s">
        <v>27</v>
      </c>
      <c r="AA37" s="27" t="s">
        <v>28</v>
      </c>
    </row>
    <row r="38" spans="1:27" x14ac:dyDescent="0.3">
      <c r="A38" s="2" t="s">
        <v>59</v>
      </c>
      <c r="B38" s="2">
        <v>9.81</v>
      </c>
      <c r="C38" s="2">
        <v>1100</v>
      </c>
      <c r="D38" s="18">
        <f>4/100</f>
        <v>0.04</v>
      </c>
      <c r="E38" s="18">
        <f>7.8/200</f>
        <v>3.9E-2</v>
      </c>
      <c r="F38" s="2">
        <v>1</v>
      </c>
      <c r="G38" s="8">
        <v>1</v>
      </c>
      <c r="H38" s="2">
        <v>20</v>
      </c>
      <c r="I38" s="4">
        <f t="shared" ref="I38:I45" si="52">D38/E38</f>
        <v>1.0256410256410258</v>
      </c>
      <c r="J38" s="2">
        <f>(11.4/200)/E38+0.5</f>
        <v>1.9615384615384617</v>
      </c>
      <c r="K38" s="2">
        <f>J38-1</f>
        <v>0.96153846153846168</v>
      </c>
      <c r="L38" s="2">
        <v>0.4</v>
      </c>
      <c r="M38" s="2">
        <f>(((Q38-H38)*(D38^G38))/(F38))^(1/G38)</f>
        <v>16.465599999999998</v>
      </c>
      <c r="N38" s="2">
        <f>(((H38^(((2*G38)+3)/3))*(D38^G38)*(1/F38))/((Q38*I38)^(2*G38/3)))^(1/G38)</f>
        <v>0.10147645147418566</v>
      </c>
      <c r="O38" s="2">
        <f t="shared" ref="O38:O45" si="53">M38/N38</f>
        <v>162.26030532993798</v>
      </c>
      <c r="P38" s="5">
        <f t="shared" ref="P38:P45" si="54">(F38+(H38*D38/M38))/Q38</f>
        <v>2.4293071615975126E-3</v>
      </c>
      <c r="Q38" s="5">
        <f t="shared" ref="Q38:Q45" si="55">B38*C38*D38</f>
        <v>431.64</v>
      </c>
      <c r="R38" s="2">
        <f>F38*((M38/D38)^(G38))</f>
        <v>411.63999999999993</v>
      </c>
      <c r="S38" s="2">
        <f t="shared" ref="S38:S45" si="56">C38*M38*M38</f>
        <v>298227.58169599995</v>
      </c>
      <c r="T38" s="2">
        <f t="shared" ref="T38:T45" si="57">Q38/R38</f>
        <v>1.0485861432319503</v>
      </c>
      <c r="U38" s="12">
        <f t="shared" ref="U38:U45" si="58">H38/Q38</f>
        <v>4.6334908720229821E-2</v>
      </c>
      <c r="V38" s="2">
        <f t="shared" ref="V38:V45" si="59">S38/Q38</f>
        <v>690.91738878695196</v>
      </c>
      <c r="W38" s="2">
        <f t="shared" ref="W38:W45" si="60">S38/R38</f>
        <v>724.4864</v>
      </c>
      <c r="X38" s="2">
        <f>(T38*I38)^((1)/((2*G38)+3))</f>
        <v>1.0146585042855965</v>
      </c>
      <c r="Y38" s="2">
        <f t="shared" ref="Y38:Y45" si="61">((1/U38)*I38)^(1/3)</f>
        <v>2.8077753534818894</v>
      </c>
      <c r="Z38" s="2">
        <f>((1/T38)*(1/I38))^((2)/((2*G38)+3))</f>
        <v>0.97131523473568315</v>
      </c>
      <c r="AA38" s="2">
        <f>((U38)*(1/I38))^(2/3)</f>
        <v>0.12684556434273206</v>
      </c>
    </row>
    <row r="39" spans="1:27" x14ac:dyDescent="0.3">
      <c r="A39" s="2" t="s">
        <v>59</v>
      </c>
      <c r="B39" s="2">
        <v>9.81</v>
      </c>
      <c r="C39" s="2">
        <v>1100</v>
      </c>
      <c r="D39" s="18">
        <f>6/100</f>
        <v>0.06</v>
      </c>
      <c r="E39" s="18">
        <f t="shared" ref="E39:E45" si="62">7.8/200</f>
        <v>3.9E-2</v>
      </c>
      <c r="F39" s="2">
        <v>1</v>
      </c>
      <c r="G39" s="8">
        <v>1</v>
      </c>
      <c r="H39" s="2">
        <v>20</v>
      </c>
      <c r="I39" s="4">
        <f t="shared" si="52"/>
        <v>1.5384615384615383</v>
      </c>
      <c r="J39" s="2">
        <f>(13.4/200)/E39+0.5</f>
        <v>2.2179487179487181</v>
      </c>
      <c r="K39" s="2">
        <f t="shared" ref="K39:K45" si="63">J39-1</f>
        <v>1.2179487179487181</v>
      </c>
      <c r="L39" s="2">
        <v>0.3</v>
      </c>
      <c r="M39" s="2">
        <f t="shared" ref="M39:M45" si="64">(((Q39-H39)*(D39^G39))/(F39))^(1/G39)</f>
        <v>37.647599999999997</v>
      </c>
      <c r="N39" s="2">
        <f>(((H39^(((2*G39)+3)/3))*(D39^G39)*(1/F39))/((Q39*I39)^(2*G39/3)))^(1/G39)</f>
        <v>8.8647845638609626E-2</v>
      </c>
      <c r="O39" s="2">
        <f t="shared" si="53"/>
        <v>424.68713964553456</v>
      </c>
      <c r="P39" s="5">
        <f t="shared" si="54"/>
        <v>1.5937270901730789E-3</v>
      </c>
      <c r="Q39" s="5">
        <f t="shared" si="55"/>
        <v>647.45999999999992</v>
      </c>
      <c r="R39" s="2">
        <f>F39*((M39/D39)^(G39))</f>
        <v>627.45999999999992</v>
      </c>
      <c r="S39" s="2">
        <f t="shared" si="56"/>
        <v>1559075.9643359997</v>
      </c>
      <c r="T39" s="2">
        <f t="shared" si="57"/>
        <v>1.0318745418034616</v>
      </c>
      <c r="U39" s="12">
        <f t="shared" si="58"/>
        <v>3.0889939146819884E-2</v>
      </c>
      <c r="V39" s="2">
        <f t="shared" si="59"/>
        <v>2407.988083180428</v>
      </c>
      <c r="W39" s="2">
        <f t="shared" si="60"/>
        <v>2484.7415999999998</v>
      </c>
      <c r="X39" s="2">
        <f>(T39*I39)^((1)/((2*G39)+3))</f>
        <v>1.0968385557010136</v>
      </c>
      <c r="Y39" s="2">
        <f t="shared" si="61"/>
        <v>3.6792265472547516</v>
      </c>
      <c r="Z39" s="2">
        <f t="shared" ref="Z39:Z45" si="65">((1/T39)*(1/I39))^((2)/((2*G39)+3))</f>
        <v>0.83121731914703889</v>
      </c>
      <c r="AA39" s="2">
        <f t="shared" ref="AA39:AA45" si="66">((U39)*(1/I39))^(2/3)</f>
        <v>7.3873204698841302E-2</v>
      </c>
    </row>
    <row r="40" spans="1:27" x14ac:dyDescent="0.3">
      <c r="A40" s="2" t="s">
        <v>59</v>
      </c>
      <c r="B40" s="1">
        <v>9.81</v>
      </c>
      <c r="C40" s="2">
        <v>1100</v>
      </c>
      <c r="D40" s="18">
        <f>8/100</f>
        <v>0.08</v>
      </c>
      <c r="E40" s="18">
        <f t="shared" si="62"/>
        <v>3.9E-2</v>
      </c>
      <c r="F40" s="2">
        <v>1</v>
      </c>
      <c r="G40" s="8">
        <v>1</v>
      </c>
      <c r="H40" s="2">
        <v>20</v>
      </c>
      <c r="I40" s="4">
        <f t="shared" si="52"/>
        <v>2.0512820512820515</v>
      </c>
      <c r="J40" s="2">
        <f>(15.3/200)/E40+0.5</f>
        <v>2.4615384615384617</v>
      </c>
      <c r="K40" s="2">
        <f t="shared" si="63"/>
        <v>1.4615384615384617</v>
      </c>
      <c r="L40" s="2">
        <v>0.24</v>
      </c>
      <c r="M40" s="2">
        <f t="shared" si="64"/>
        <v>67.462400000000002</v>
      </c>
      <c r="N40" s="2">
        <f t="shared" ref="N40:N45" si="67">(((H40^(((2*G40)+3)/3))*(D40^G40)*(1/F40))/((Q40*I40)^(2*G40/3)))^(1/G40)</f>
        <v>8.0541912910061075E-2</v>
      </c>
      <c r="O40" s="2">
        <f t="shared" si="53"/>
        <v>837.60613030551428</v>
      </c>
      <c r="P40" s="5">
        <f t="shared" si="54"/>
        <v>1.1858457451854663E-3</v>
      </c>
      <c r="Q40" s="5">
        <f t="shared" si="55"/>
        <v>863.28</v>
      </c>
      <c r="R40" s="2">
        <f t="shared" ref="R40:R45" si="68">F40*((M40/D40)^(G40))</f>
        <v>843.28</v>
      </c>
      <c r="S40" s="2">
        <f t="shared" si="56"/>
        <v>5006292.9551360002</v>
      </c>
      <c r="T40" s="2">
        <f t="shared" si="57"/>
        <v>1.0237169149037093</v>
      </c>
      <c r="U40" s="12">
        <f t="shared" si="58"/>
        <v>2.3167454360114911E-2</v>
      </c>
      <c r="V40" s="2">
        <f t="shared" si="59"/>
        <v>5799.1531775739049</v>
      </c>
      <c r="W40" s="2">
        <f t="shared" si="60"/>
        <v>5936.6912000000002</v>
      </c>
      <c r="X40" s="2">
        <f t="shared" ref="X40:X45" si="69">(T40*I40)^((1)/((2*G40)+3))</f>
        <v>1.1599547611284069</v>
      </c>
      <c r="Y40" s="2">
        <f t="shared" si="61"/>
        <v>4.4570655498075356</v>
      </c>
      <c r="Z40" s="2">
        <f t="shared" si="65"/>
        <v>0.74322086995948322</v>
      </c>
      <c r="AA40" s="2">
        <f t="shared" si="66"/>
        <v>5.0338695568788207E-2</v>
      </c>
    </row>
    <row r="41" spans="1:27" x14ac:dyDescent="0.3">
      <c r="A41" s="2" t="s">
        <v>59</v>
      </c>
      <c r="B41" s="1">
        <v>9.81</v>
      </c>
      <c r="C41" s="2">
        <v>1100</v>
      </c>
      <c r="D41" s="18">
        <f>10/100</f>
        <v>0.1</v>
      </c>
      <c r="E41" s="18">
        <f t="shared" si="62"/>
        <v>3.9E-2</v>
      </c>
      <c r="F41" s="2">
        <v>1</v>
      </c>
      <c r="G41" s="8">
        <v>1</v>
      </c>
      <c r="H41" s="2">
        <v>20</v>
      </c>
      <c r="I41" s="4">
        <f t="shared" si="52"/>
        <v>2.5641025641025643</v>
      </c>
      <c r="J41" s="2">
        <f>(16.3/200)/E41+0.5</f>
        <v>2.5897435897435899</v>
      </c>
      <c r="K41" s="2">
        <f t="shared" si="63"/>
        <v>1.5897435897435899</v>
      </c>
      <c r="L41" s="2">
        <v>0.2</v>
      </c>
      <c r="M41" s="2">
        <f t="shared" si="64"/>
        <v>105.91000000000003</v>
      </c>
      <c r="N41" s="2">
        <f t="shared" si="67"/>
        <v>7.4768488720230494E-2</v>
      </c>
      <c r="O41" s="2">
        <f t="shared" si="53"/>
        <v>1416.5058276929358</v>
      </c>
      <c r="P41" s="5">
        <f t="shared" si="54"/>
        <v>9.4419790388065319E-4</v>
      </c>
      <c r="Q41" s="5">
        <f t="shared" si="55"/>
        <v>1079.1000000000001</v>
      </c>
      <c r="R41" s="2">
        <f t="shared" si="68"/>
        <v>1059.1000000000001</v>
      </c>
      <c r="S41" s="2">
        <f t="shared" si="56"/>
        <v>12338620.910000006</v>
      </c>
      <c r="T41" s="2">
        <f t="shared" si="57"/>
        <v>1.018883958077613</v>
      </c>
      <c r="U41" s="12">
        <f t="shared" si="58"/>
        <v>1.8533963488091925E-2</v>
      </c>
      <c r="V41" s="2">
        <f t="shared" si="59"/>
        <v>11434.177471967385</v>
      </c>
      <c r="W41" s="2">
        <f t="shared" si="60"/>
        <v>11650.100000000004</v>
      </c>
      <c r="X41" s="2">
        <f t="shared" si="69"/>
        <v>1.2117471961741233</v>
      </c>
      <c r="Y41" s="2">
        <f t="shared" si="61"/>
        <v>5.1719664216667143</v>
      </c>
      <c r="Z41" s="2">
        <f t="shared" si="65"/>
        <v>0.68104522608600626</v>
      </c>
      <c r="AA41" s="2">
        <f t="shared" si="66"/>
        <v>3.7384244360115233E-2</v>
      </c>
    </row>
    <row r="42" spans="1:27" x14ac:dyDescent="0.3">
      <c r="A42" s="2" t="s">
        <v>59</v>
      </c>
      <c r="B42" s="2">
        <v>9.81</v>
      </c>
      <c r="C42" s="2">
        <v>1100</v>
      </c>
      <c r="D42" s="18">
        <f>12/100</f>
        <v>0.12</v>
      </c>
      <c r="E42" s="18">
        <f t="shared" si="62"/>
        <v>3.9E-2</v>
      </c>
      <c r="F42" s="2">
        <v>1</v>
      </c>
      <c r="G42" s="8">
        <v>1</v>
      </c>
      <c r="H42" s="2">
        <v>20</v>
      </c>
      <c r="I42" s="4">
        <f t="shared" si="52"/>
        <v>3.0769230769230766</v>
      </c>
      <c r="J42" s="2">
        <f>(18.2/200)/E42+0.5</f>
        <v>2.8333333333333335</v>
      </c>
      <c r="K42" s="2">
        <f t="shared" si="63"/>
        <v>1.8333333333333335</v>
      </c>
      <c r="L42" s="2">
        <v>0.18</v>
      </c>
      <c r="M42" s="2">
        <f t="shared" si="64"/>
        <v>152.99039999999997</v>
      </c>
      <c r="N42" s="2">
        <f t="shared" si="67"/>
        <v>7.0359841710721682E-2</v>
      </c>
      <c r="O42" s="2">
        <f t="shared" si="53"/>
        <v>2174.3994341119551</v>
      </c>
      <c r="P42" s="5">
        <f t="shared" si="54"/>
        <v>7.8436294041979112E-4</v>
      </c>
      <c r="Q42" s="5">
        <f t="shared" si="55"/>
        <v>1294.9199999999998</v>
      </c>
      <c r="R42" s="2">
        <f t="shared" si="68"/>
        <v>1274.9199999999998</v>
      </c>
      <c r="S42" s="2">
        <f t="shared" si="56"/>
        <v>25746668.74137599</v>
      </c>
      <c r="T42" s="2">
        <f t="shared" si="57"/>
        <v>1.0156872588083958</v>
      </c>
      <c r="U42" s="12">
        <f t="shared" si="58"/>
        <v>1.5444969573409942E-2</v>
      </c>
      <c r="V42" s="2">
        <f t="shared" si="59"/>
        <v>19882.825766360853</v>
      </c>
      <c r="W42" s="2">
        <f t="shared" si="60"/>
        <v>20194.732799999994</v>
      </c>
      <c r="X42" s="2">
        <f t="shared" si="69"/>
        <v>1.2559586134873706</v>
      </c>
      <c r="Y42" s="2">
        <f t="shared" si="61"/>
        <v>5.8404080915415211</v>
      </c>
      <c r="Z42" s="2">
        <f t="shared" si="65"/>
        <v>0.6339417327703657</v>
      </c>
      <c r="AA42" s="2">
        <f t="shared" si="66"/>
        <v>2.9316600712800695E-2</v>
      </c>
    </row>
    <row r="43" spans="1:27" x14ac:dyDescent="0.3">
      <c r="A43" s="2" t="s">
        <v>59</v>
      </c>
      <c r="B43" s="2">
        <v>9.81</v>
      </c>
      <c r="C43" s="2">
        <v>1100</v>
      </c>
      <c r="D43" s="18">
        <f>14/100</f>
        <v>0.14000000000000001</v>
      </c>
      <c r="E43" s="18">
        <f t="shared" si="62"/>
        <v>3.9E-2</v>
      </c>
      <c r="F43" s="2">
        <v>1</v>
      </c>
      <c r="G43" s="8">
        <v>1</v>
      </c>
      <c r="H43" s="2">
        <v>20</v>
      </c>
      <c r="I43" s="4">
        <f t="shared" si="52"/>
        <v>3.5897435897435899</v>
      </c>
      <c r="J43" s="2">
        <f>(18.3/200)/E43+0.5</f>
        <v>2.8461538461538463</v>
      </c>
      <c r="K43" s="2">
        <f t="shared" si="63"/>
        <v>1.8461538461538463</v>
      </c>
      <c r="L43" s="2">
        <v>0.16</v>
      </c>
      <c r="M43" s="2">
        <f t="shared" si="64"/>
        <v>208.70360000000005</v>
      </c>
      <c r="N43" s="2">
        <f t="shared" si="67"/>
        <v>6.6835816380841878E-2</v>
      </c>
      <c r="O43" s="2">
        <f t="shared" si="53"/>
        <v>3122.6311175847895</v>
      </c>
      <c r="P43" s="5">
        <f t="shared" si="54"/>
        <v>6.7080778673678839E-4</v>
      </c>
      <c r="Q43" s="5">
        <f t="shared" si="55"/>
        <v>1510.7400000000002</v>
      </c>
      <c r="R43" s="2">
        <f t="shared" si="68"/>
        <v>1490.7400000000002</v>
      </c>
      <c r="S43" s="2">
        <f t="shared" si="56"/>
        <v>47912911.918256022</v>
      </c>
      <c r="T43" s="2">
        <f t="shared" si="57"/>
        <v>1.0134161557347359</v>
      </c>
      <c r="U43" s="12">
        <f t="shared" si="58"/>
        <v>1.3238545348637089E-2</v>
      </c>
      <c r="V43" s="2">
        <f t="shared" si="59"/>
        <v>31714.862860754343</v>
      </c>
      <c r="W43" s="2">
        <f t="shared" si="60"/>
        <v>32140.354400000011</v>
      </c>
      <c r="X43" s="2">
        <f t="shared" si="69"/>
        <v>1.2947032864992354</v>
      </c>
      <c r="Y43" s="2">
        <f t="shared" si="61"/>
        <v>6.4725346948200704</v>
      </c>
      <c r="Z43" s="2">
        <f t="shared" si="65"/>
        <v>0.59656737516027913</v>
      </c>
      <c r="AA43" s="2">
        <f t="shared" si="66"/>
        <v>2.3869934421729237E-2</v>
      </c>
    </row>
    <row r="44" spans="1:27" x14ac:dyDescent="0.3">
      <c r="A44" s="2" t="s">
        <v>59</v>
      </c>
      <c r="B44" s="1">
        <v>9.81</v>
      </c>
      <c r="C44" s="2">
        <v>1100</v>
      </c>
      <c r="D44" s="18">
        <f>2/100</f>
        <v>0.02</v>
      </c>
      <c r="E44" s="18">
        <f t="shared" si="62"/>
        <v>3.9E-2</v>
      </c>
      <c r="F44" s="2">
        <v>1</v>
      </c>
      <c r="G44" s="8">
        <v>1</v>
      </c>
      <c r="H44" s="2">
        <v>20</v>
      </c>
      <c r="I44" s="4">
        <f t="shared" si="52"/>
        <v>0.51282051282051289</v>
      </c>
      <c r="J44" s="2">
        <f>(9.2/200)/E44+0.5</f>
        <v>1.6794871794871795</v>
      </c>
      <c r="K44" s="2">
        <f t="shared" si="63"/>
        <v>0.67948717948717952</v>
      </c>
      <c r="L44" s="2">
        <v>0.5</v>
      </c>
      <c r="M44" s="2">
        <f t="shared" si="64"/>
        <v>3.9163999999999999</v>
      </c>
      <c r="N44" s="2">
        <f t="shared" si="67"/>
        <v>0.12785231728096214</v>
      </c>
      <c r="O44" s="2">
        <f t="shared" si="53"/>
        <v>30.63221757172775</v>
      </c>
      <c r="P44" s="5">
        <f t="shared" si="54"/>
        <v>5.1067306710244099E-3</v>
      </c>
      <c r="Q44" s="5">
        <f t="shared" si="55"/>
        <v>215.82</v>
      </c>
      <c r="R44" s="2">
        <f t="shared" si="68"/>
        <v>195.82</v>
      </c>
      <c r="S44" s="2">
        <f t="shared" si="56"/>
        <v>16872.007856</v>
      </c>
      <c r="T44" s="2">
        <f t="shared" si="57"/>
        <v>1.1021346134204881</v>
      </c>
      <c r="U44" s="12">
        <f t="shared" si="58"/>
        <v>9.2669817440459643E-2</v>
      </c>
      <c r="V44" s="2">
        <f t="shared" si="59"/>
        <v>78.176294393476041</v>
      </c>
      <c r="W44" s="2">
        <f t="shared" si="60"/>
        <v>86.160800000000009</v>
      </c>
      <c r="X44" s="2">
        <f t="shared" si="69"/>
        <v>0.89215436796951009</v>
      </c>
      <c r="Y44" s="2">
        <f t="shared" si="61"/>
        <v>1.7687876356139256</v>
      </c>
      <c r="Z44" s="2">
        <f t="shared" si="65"/>
        <v>1.2563770301323089</v>
      </c>
      <c r="AA44" s="2">
        <f t="shared" si="66"/>
        <v>0.31963079320240528</v>
      </c>
    </row>
    <row r="45" spans="1:27" x14ac:dyDescent="0.3">
      <c r="A45" s="2" t="s">
        <v>59</v>
      </c>
      <c r="B45" s="1">
        <v>9.81</v>
      </c>
      <c r="C45" s="2">
        <v>1100</v>
      </c>
      <c r="D45" s="18">
        <f>9/100</f>
        <v>0.09</v>
      </c>
      <c r="E45" s="18">
        <f t="shared" si="62"/>
        <v>3.9E-2</v>
      </c>
      <c r="F45" s="2">
        <v>1</v>
      </c>
      <c r="G45" s="8">
        <v>1</v>
      </c>
      <c r="H45" s="2">
        <v>20</v>
      </c>
      <c r="I45" s="4">
        <f t="shared" si="52"/>
        <v>2.3076923076923075</v>
      </c>
      <c r="J45" s="2">
        <f>(15.25/200)/E45+0.5</f>
        <v>2.4551282051282053</v>
      </c>
      <c r="K45" s="2">
        <f t="shared" si="63"/>
        <v>1.4551282051282053</v>
      </c>
      <c r="L45" s="2">
        <v>0.2</v>
      </c>
      <c r="M45" s="2">
        <f t="shared" si="64"/>
        <v>85.607099999999988</v>
      </c>
      <c r="N45" s="2">
        <f t="shared" si="67"/>
        <v>7.7441026190848222E-2</v>
      </c>
      <c r="O45" s="2">
        <f t="shared" si="53"/>
        <v>1105.4489359299944</v>
      </c>
      <c r="P45" s="5">
        <f t="shared" si="54"/>
        <v>1.0513146689935765E-3</v>
      </c>
      <c r="Q45" s="5">
        <f t="shared" si="55"/>
        <v>971.18999999999994</v>
      </c>
      <c r="R45" s="2">
        <f t="shared" si="68"/>
        <v>951.18999999999994</v>
      </c>
      <c r="S45" s="2">
        <f t="shared" si="56"/>
        <v>8061433.127450997</v>
      </c>
      <c r="T45" s="2">
        <f t="shared" si="57"/>
        <v>1.0210262933798715</v>
      </c>
      <c r="U45" s="12">
        <f t="shared" si="58"/>
        <v>2.0593292764546588E-2</v>
      </c>
      <c r="V45" s="2">
        <f t="shared" si="59"/>
        <v>8300.5726247706389</v>
      </c>
      <c r="W45" s="2">
        <f t="shared" si="60"/>
        <v>8475.102899999998</v>
      </c>
      <c r="X45" s="2">
        <f t="shared" si="69"/>
        <v>1.1869788092692044</v>
      </c>
      <c r="Y45" s="2">
        <f t="shared" si="61"/>
        <v>4.821150655531401</v>
      </c>
      <c r="Z45" s="2">
        <f t="shared" si="65"/>
        <v>0.7097641648904689</v>
      </c>
      <c r="AA45" s="2">
        <f t="shared" si="66"/>
        <v>4.3022792328249029E-2</v>
      </c>
    </row>
  </sheetData>
  <mergeCells count="4">
    <mergeCell ref="A1:AA1"/>
    <mergeCell ref="A15:AA15"/>
    <mergeCell ref="A26:AA26"/>
    <mergeCell ref="A36:AA36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45"/>
  <sheetViews>
    <sheetView topLeftCell="C1" workbookViewId="0">
      <selection activeCell="E5" sqref="E5"/>
    </sheetView>
  </sheetViews>
  <sheetFormatPr baseColWidth="10" defaultColWidth="8.88671875" defaultRowHeight="14.4" x14ac:dyDescent="0.3"/>
  <cols>
    <col min="1" max="1" width="13.6640625" style="16" customWidth="1"/>
    <col min="2" max="2" width="20" customWidth="1"/>
    <col min="3" max="3" width="12" bestFit="1" customWidth="1"/>
    <col min="4" max="4" width="38.5546875" customWidth="1"/>
    <col min="19" max="19" width="12" bestFit="1" customWidth="1"/>
    <col min="21" max="21" width="11.109375" bestFit="1" customWidth="1"/>
    <col min="22" max="22" width="12.6640625" bestFit="1" customWidth="1"/>
    <col min="23" max="23" width="12" bestFit="1" customWidth="1"/>
    <col min="28" max="28" width="17" bestFit="1" customWidth="1"/>
    <col min="29" max="29" width="16.6640625" bestFit="1" customWidth="1"/>
    <col min="30" max="30" width="23.88671875" bestFit="1" customWidth="1"/>
    <col min="31" max="31" width="16.6640625" bestFit="1" customWidth="1"/>
  </cols>
  <sheetData>
    <row r="1" spans="1:31" ht="15" thickBot="1" x14ac:dyDescent="0.35">
      <c r="A1" s="36" t="s">
        <v>52</v>
      </c>
      <c r="B1" s="37"/>
      <c r="C1" s="37"/>
      <c r="D1" s="38"/>
      <c r="E1" s="16"/>
      <c r="F1" s="33" t="s">
        <v>23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5"/>
    </row>
    <row r="2" spans="1:31" ht="20.399999999999999" thickBot="1" x14ac:dyDescent="0.35">
      <c r="A2" s="17" t="s">
        <v>37</v>
      </c>
      <c r="B2" s="17" t="s">
        <v>35</v>
      </c>
      <c r="C2" s="17" t="s">
        <v>1</v>
      </c>
      <c r="D2" s="17" t="s">
        <v>41</v>
      </c>
      <c r="E2" s="16"/>
      <c r="F2" s="6" t="s">
        <v>6</v>
      </c>
      <c r="G2" s="6" t="s">
        <v>8</v>
      </c>
      <c r="H2" s="6" t="s">
        <v>9</v>
      </c>
      <c r="I2" s="6" t="s">
        <v>14</v>
      </c>
      <c r="J2" s="6" t="s">
        <v>7</v>
      </c>
      <c r="K2" s="6" t="s">
        <v>19</v>
      </c>
      <c r="L2" s="6" t="s">
        <v>4</v>
      </c>
      <c r="M2" s="20" t="s">
        <v>2</v>
      </c>
      <c r="N2" s="6" t="s">
        <v>38</v>
      </c>
      <c r="O2" s="6" t="s">
        <v>39</v>
      </c>
      <c r="P2" s="6" t="s">
        <v>40</v>
      </c>
      <c r="Q2" s="6" t="s">
        <v>10</v>
      </c>
      <c r="R2" s="6" t="s">
        <v>15</v>
      </c>
      <c r="S2" s="6" t="s">
        <v>16</v>
      </c>
      <c r="T2" s="15" t="s">
        <v>17</v>
      </c>
      <c r="U2" s="21" t="s">
        <v>3</v>
      </c>
      <c r="V2" s="6" t="s">
        <v>21</v>
      </c>
      <c r="W2" s="6" t="s">
        <v>13</v>
      </c>
      <c r="X2" s="6" t="s">
        <v>0</v>
      </c>
      <c r="Y2" s="6" t="s">
        <v>1</v>
      </c>
      <c r="Z2" s="6" t="s">
        <v>12</v>
      </c>
      <c r="AA2" s="6" t="s">
        <v>11</v>
      </c>
      <c r="AB2" s="6" t="s">
        <v>20</v>
      </c>
      <c r="AC2" s="6" t="s">
        <v>5</v>
      </c>
      <c r="AD2" s="6" t="s">
        <v>27</v>
      </c>
      <c r="AE2" s="6" t="s">
        <v>28</v>
      </c>
    </row>
    <row r="3" spans="1:31" x14ac:dyDescent="0.3">
      <c r="A3" s="2" t="s">
        <v>30</v>
      </c>
      <c r="B3" s="2" t="s">
        <v>33</v>
      </c>
      <c r="C3" s="2">
        <v>2.8396193969964401E-2</v>
      </c>
      <c r="D3" s="2">
        <v>0.74274905422446302</v>
      </c>
      <c r="E3" s="16"/>
      <c r="F3" s="2">
        <v>9.81</v>
      </c>
      <c r="G3" s="2">
        <v>3200</v>
      </c>
      <c r="H3" s="18">
        <f>50/1000</f>
        <v>0.05</v>
      </c>
      <c r="I3" s="2">
        <f>25/1000</f>
        <v>2.5000000000000001E-2</v>
      </c>
      <c r="J3" s="2">
        <v>100</v>
      </c>
      <c r="K3" s="8">
        <v>1</v>
      </c>
      <c r="L3" s="2">
        <f>C3*U3</f>
        <v>44.570666055256126</v>
      </c>
      <c r="M3" s="4">
        <f>H3/I3/2</f>
        <v>1</v>
      </c>
      <c r="N3" s="2" t="s">
        <v>29</v>
      </c>
      <c r="O3" s="2" t="e">
        <f>N3-1</f>
        <v>#VALUE!</v>
      </c>
      <c r="P3" s="2">
        <f>1-D3</f>
        <v>0.25725094577553698</v>
      </c>
      <c r="Q3" s="2">
        <f>(((U3-L3)*(H3^K3))/(J3))^(1/K3)</f>
        <v>0.76251466697237202</v>
      </c>
      <c r="R3" s="2">
        <f>(((L3^(((2*K3)+3)/3))*(H3^K3)*(1/J3))/((U3*M3)^(2*K3/3)))^(1/K3)</f>
        <v>2.0742410167034738E-3</v>
      </c>
      <c r="S3" s="2">
        <f>Q3/R3</f>
        <v>367.61141103275099</v>
      </c>
      <c r="T3" s="5">
        <f>(J3+(L3*H3/Q3))/U3</f>
        <v>6.5572509180091137E-2</v>
      </c>
      <c r="U3" s="5">
        <f>F3*G3*H3</f>
        <v>1569.6000000000001</v>
      </c>
      <c r="V3" s="2">
        <f>J3*((Q3/H3)^(K3))</f>
        <v>1525.0293339447439</v>
      </c>
      <c r="W3" s="2">
        <f>G3*Q3*Q3</f>
        <v>1860.5715755135598</v>
      </c>
      <c r="X3" s="2">
        <f>U3/V3</f>
        <v>1.0292261040907107</v>
      </c>
      <c r="Y3" s="12">
        <f>L3/U3</f>
        <v>2.8396193969964401E-2</v>
      </c>
      <c r="Z3" s="2">
        <f>W3/U3</f>
        <v>1.1853794441345309</v>
      </c>
      <c r="AA3" s="2">
        <f>W3/V3</f>
        <v>1.2200234671557952</v>
      </c>
      <c r="AB3" s="2">
        <f>(X3*M3)^((1)/((2*K3)+3))</f>
        <v>1.0057780618910559</v>
      </c>
      <c r="AC3" s="2">
        <f>((1/Y3)*M3)^(1/3)</f>
        <v>3.2777811647174038</v>
      </c>
      <c r="AD3" s="2">
        <f>((1/X3)*(1/M3))^((2)/((2*K3)+3))</f>
        <v>0.98854326812480109</v>
      </c>
      <c r="AE3" s="2">
        <f>((Y3)*(1/M3))^(2/3)</f>
        <v>9.3076509744411229E-2</v>
      </c>
    </row>
    <row r="4" spans="1:31" x14ac:dyDescent="0.3">
      <c r="A4" s="1" t="s">
        <v>30</v>
      </c>
      <c r="B4" s="1" t="s">
        <v>33</v>
      </c>
      <c r="C4" s="1">
        <v>4.3484657419083597E-2</v>
      </c>
      <c r="D4" s="1">
        <v>0.70113493064312704</v>
      </c>
      <c r="E4" s="16"/>
      <c r="F4" s="2">
        <v>9.81</v>
      </c>
      <c r="G4" s="2">
        <v>3200</v>
      </c>
      <c r="H4" s="18">
        <f t="shared" ref="H4:H20" si="0">50/1000</f>
        <v>0.05</v>
      </c>
      <c r="I4" s="2">
        <f t="shared" ref="I4:I45" si="1">25/1000</f>
        <v>2.5000000000000001E-2</v>
      </c>
      <c r="J4" s="2">
        <v>100</v>
      </c>
      <c r="K4" s="8">
        <v>1</v>
      </c>
      <c r="L4" s="2">
        <f>C4*U4</f>
        <v>68.253518284993618</v>
      </c>
      <c r="M4" s="4">
        <f t="shared" ref="M4:M45" si="2">H4/I4/2</f>
        <v>1</v>
      </c>
      <c r="N4" s="2" t="s">
        <v>29</v>
      </c>
      <c r="O4" s="2" t="e">
        <f>N4-1</f>
        <v>#VALUE!</v>
      </c>
      <c r="P4" s="2">
        <f>1-D4</f>
        <v>0.29886506935687296</v>
      </c>
      <c r="Q4" s="2">
        <f>(((U4-L4)*(H4^K4))/(J4))^(1/K4)</f>
        <v>0.75067324085750331</v>
      </c>
      <c r="R4" s="2">
        <f>(((L4^(((2*K4)+3)/3))*(H4^K4)*(1/J4))/((U4*M4)^(2*K4/3)))^(1/K4)</f>
        <v>4.2200644399660817E-3</v>
      </c>
      <c r="S4" s="2">
        <f>Q4/R4</f>
        <v>177.8819379505818</v>
      </c>
      <c r="T4" s="5">
        <f>(J4+(L4*H4/Q4))/U4</f>
        <v>6.6606876705614798E-2</v>
      </c>
      <c r="U4" s="5">
        <f>F4*G4*H4</f>
        <v>1569.6000000000001</v>
      </c>
      <c r="V4" s="2">
        <f>J4*((Q4/H4)^(K4))</f>
        <v>1501.3464817150066</v>
      </c>
      <c r="W4" s="2">
        <f>G4*Q4*Q4</f>
        <v>1803.233006526423</v>
      </c>
      <c r="X4" s="2">
        <f>U4/V4</f>
        <v>1.0454615367713298</v>
      </c>
      <c r="Y4" s="12">
        <f>L4/U4</f>
        <v>4.3484657419083597E-2</v>
      </c>
      <c r="Z4" s="2">
        <f>W4/U4</f>
        <v>1.1488487554322266</v>
      </c>
      <c r="AA4" s="2">
        <f>W4/V4</f>
        <v>1.2010771853720053</v>
      </c>
      <c r="AB4" s="2">
        <f>(X4*M4)^((1)/((2*K4)+3))</f>
        <v>1.0089313384812708</v>
      </c>
      <c r="AC4" s="2">
        <f>((1/Y4)*M4)^(1/3)</f>
        <v>2.8437275296863112</v>
      </c>
      <c r="AD4" s="2">
        <f>((1/X4)*(1/M4))^((2)/((2*K4)+3))</f>
        <v>0.98237381116764078</v>
      </c>
      <c r="AE4" s="2">
        <f>((Y4)*(1/M4))^(2/3)</f>
        <v>0.12365851742162613</v>
      </c>
    </row>
    <row r="5" spans="1:31" x14ac:dyDescent="0.3">
      <c r="A5" s="1" t="s">
        <v>30</v>
      </c>
      <c r="B5" s="1" t="s">
        <v>33</v>
      </c>
      <c r="C5" s="1">
        <v>4.8003362757461102E-2</v>
      </c>
      <c r="D5" s="1">
        <v>0.68348045397225698</v>
      </c>
      <c r="E5" s="16"/>
      <c r="F5" s="2">
        <v>9.81</v>
      </c>
      <c r="G5" s="2">
        <v>3200</v>
      </c>
      <c r="H5" s="18">
        <f t="shared" si="0"/>
        <v>0.05</v>
      </c>
      <c r="I5" s="2">
        <f t="shared" si="1"/>
        <v>2.5000000000000001E-2</v>
      </c>
      <c r="J5" s="2">
        <v>100</v>
      </c>
      <c r="K5" s="8">
        <v>1</v>
      </c>
      <c r="L5" s="2">
        <f>C5*U5</f>
        <v>75.346078184110951</v>
      </c>
      <c r="M5" s="4">
        <f t="shared" si="2"/>
        <v>1</v>
      </c>
      <c r="N5" s="2" t="s">
        <v>29</v>
      </c>
      <c r="O5" s="2" t="e">
        <f>N5-1</f>
        <v>#VALUE!</v>
      </c>
      <c r="P5" s="2">
        <f>1-D5</f>
        <v>0.31651954602774302</v>
      </c>
      <c r="Q5" s="2">
        <f>(((U5-L5)*(H5^K5))/(J5))^(1/K5)</f>
        <v>0.74712696090794462</v>
      </c>
      <c r="R5" s="2">
        <f t="shared" ref="R5:R14" si="3">(((L5^(((2*K5)+3)/3))*(H5^K5)*(1/J5))/((U5*M5)^(2*K5/3)))^(1/K5)</f>
        <v>4.9759777623680345E-3</v>
      </c>
      <c r="S5" s="2">
        <f t="shared" ref="S5:S14" si="4">Q5/R5</f>
        <v>150.14676443256289</v>
      </c>
      <c r="T5" s="5">
        <f t="shared" ref="T5:T14" si="5">(J5+(L5*H5/Q5))/U5</f>
        <v>6.6923029975036102E-2</v>
      </c>
      <c r="U5" s="5">
        <f t="shared" ref="U5:U14" si="6">F5*G5*H5</f>
        <v>1569.6000000000001</v>
      </c>
      <c r="V5" s="2">
        <f t="shared" ref="V5:V14" si="7">J5*((Q5/H5)^(K5))</f>
        <v>1494.2539218158893</v>
      </c>
      <c r="W5" s="2">
        <f t="shared" ref="W5:W14" si="8">G5*Q5*Q5</f>
        <v>1786.2358262897326</v>
      </c>
      <c r="X5" s="2">
        <f t="shared" ref="X5:X14" si="9">U5/V5</f>
        <v>1.0504238784881665</v>
      </c>
      <c r="Y5" s="12">
        <f t="shared" ref="Y5:Y14" si="10">L5/U5</f>
        <v>4.8003362757461102E-2</v>
      </c>
      <c r="Z5" s="2">
        <f t="shared" ref="Z5:Z14" si="11">W5/U5</f>
        <v>1.1380197670041619</v>
      </c>
      <c r="AA5" s="2">
        <f t="shared" ref="AA5:AA14" si="12">W5/V5</f>
        <v>1.1954031374527114</v>
      </c>
      <c r="AB5" s="2">
        <f t="shared" ref="AB5:AB14" si="13">(X5*M5)^((1)/((2*K5)+3))</f>
        <v>1.009887314978928</v>
      </c>
      <c r="AC5" s="2">
        <f t="shared" ref="AC5:AC14" si="14">((1/Y5)*M5)^(1/3)</f>
        <v>2.751541786914919</v>
      </c>
      <c r="AD5" s="2">
        <f>((1/X5)*(1/M5))^((2)/((2*K5)+3))</f>
        <v>0.98051482796224765</v>
      </c>
      <c r="AE5" s="2">
        <f>((Y5)*(1/M5))^(2/3)</f>
        <v>0.13208325853958963</v>
      </c>
    </row>
    <row r="6" spans="1:31" x14ac:dyDescent="0.3">
      <c r="A6" s="1" t="s">
        <v>30</v>
      </c>
      <c r="B6" s="1" t="s">
        <v>33</v>
      </c>
      <c r="C6" s="1">
        <v>6.7134140904632697E-2</v>
      </c>
      <c r="D6" s="1">
        <v>0.643127364438839</v>
      </c>
      <c r="E6" s="16"/>
      <c r="F6" s="2">
        <v>9.81</v>
      </c>
      <c r="G6" s="2">
        <v>3200</v>
      </c>
      <c r="H6" s="18">
        <f t="shared" si="0"/>
        <v>0.05</v>
      </c>
      <c r="I6" s="2">
        <f t="shared" si="1"/>
        <v>2.5000000000000001E-2</v>
      </c>
      <c r="J6" s="2">
        <v>100</v>
      </c>
      <c r="K6" s="8">
        <v>1</v>
      </c>
      <c r="L6" s="2">
        <f t="shared" ref="L6:L14" si="15">C6*U6</f>
        <v>105.37374756391149</v>
      </c>
      <c r="M6" s="4">
        <f t="shared" si="2"/>
        <v>1</v>
      </c>
      <c r="N6" s="2" t="s">
        <v>29</v>
      </c>
      <c r="O6" s="2" t="e">
        <f t="shared" ref="O6:O14" si="16">N6-1</f>
        <v>#VALUE!</v>
      </c>
      <c r="P6" s="2">
        <f t="shared" ref="P6:P14" si="17">1-D6</f>
        <v>0.356872635561161</v>
      </c>
      <c r="Q6" s="2">
        <f t="shared" ref="Q6:Q14" si="18">(((U6-L6)*(H6^K6))/(J6))^(1/K6)</f>
        <v>0.73211312621804425</v>
      </c>
      <c r="R6" s="2">
        <f t="shared" si="3"/>
        <v>8.702914574557262E-3</v>
      </c>
      <c r="S6" s="2">
        <f t="shared" si="4"/>
        <v>84.122752205147165</v>
      </c>
      <c r="T6" s="5">
        <f t="shared" si="5"/>
        <v>6.8295456275030045E-2</v>
      </c>
      <c r="U6" s="5">
        <f t="shared" si="6"/>
        <v>1569.6000000000001</v>
      </c>
      <c r="V6" s="2">
        <f t="shared" si="7"/>
        <v>1464.2262524360883</v>
      </c>
      <c r="W6" s="2">
        <f t="shared" si="8"/>
        <v>1715.1668146584257</v>
      </c>
      <c r="X6" s="2">
        <f t="shared" si="9"/>
        <v>1.0719654816928719</v>
      </c>
      <c r="Y6" s="12">
        <f t="shared" si="10"/>
        <v>6.7134140904632697E-2</v>
      </c>
      <c r="Z6" s="2">
        <f t="shared" si="11"/>
        <v>1.0927413447110255</v>
      </c>
      <c r="AA6" s="2">
        <f t="shared" si="12"/>
        <v>1.1713810019488711</v>
      </c>
      <c r="AB6" s="2">
        <f t="shared" si="13"/>
        <v>1.0139958094248722</v>
      </c>
      <c r="AC6" s="2">
        <f t="shared" si="14"/>
        <v>2.4604744224993489</v>
      </c>
      <c r="AD6" s="2">
        <f t="shared" ref="AD6:AD14" si="19">((1/X6)*(1/M6))^((2)/((2*K6)+3))</f>
        <v>0.97258525172770105</v>
      </c>
      <c r="AE6" s="2">
        <f t="shared" ref="AE6:AE14" si="20">((Y6)*(1/M6))^(2/3)</f>
        <v>0.16518183657231605</v>
      </c>
    </row>
    <row r="7" spans="1:31" x14ac:dyDescent="0.3">
      <c r="A7" s="1" t="s">
        <v>30</v>
      </c>
      <c r="B7" s="1" t="s">
        <v>33</v>
      </c>
      <c r="C7" s="1">
        <v>9.2782809176251799E-2</v>
      </c>
      <c r="D7" s="1">
        <v>0.57124842370744</v>
      </c>
      <c r="E7" s="16"/>
      <c r="F7" s="2">
        <v>9.81</v>
      </c>
      <c r="G7" s="2">
        <v>3200</v>
      </c>
      <c r="H7" s="18">
        <f t="shared" si="0"/>
        <v>0.05</v>
      </c>
      <c r="I7" s="2">
        <f t="shared" si="1"/>
        <v>2.5000000000000001E-2</v>
      </c>
      <c r="J7" s="2">
        <v>100</v>
      </c>
      <c r="K7" s="8">
        <v>1</v>
      </c>
      <c r="L7" s="2">
        <f t="shared" si="15"/>
        <v>145.63189728304482</v>
      </c>
      <c r="M7" s="4">
        <f t="shared" si="2"/>
        <v>1</v>
      </c>
      <c r="N7" s="2" t="s">
        <v>29</v>
      </c>
      <c r="O7" s="2" t="e">
        <f t="shared" si="16"/>
        <v>#VALUE!</v>
      </c>
      <c r="P7" s="2">
        <f t="shared" si="17"/>
        <v>0.42875157629256</v>
      </c>
      <c r="Q7" s="2">
        <f t="shared" si="18"/>
        <v>0.71198405135847775</v>
      </c>
      <c r="R7" s="2">
        <f t="shared" si="3"/>
        <v>1.4923528643839359E-2</v>
      </c>
      <c r="S7" s="2">
        <f t="shared" si="4"/>
        <v>47.708827339061983</v>
      </c>
      <c r="T7" s="5">
        <f t="shared" si="5"/>
        <v>7.022629215443682E-2</v>
      </c>
      <c r="U7" s="5">
        <f t="shared" si="6"/>
        <v>1569.6000000000001</v>
      </c>
      <c r="V7" s="2">
        <f t="shared" si="7"/>
        <v>1423.9681027169554</v>
      </c>
      <c r="W7" s="2">
        <f t="shared" si="8"/>
        <v>1622.1481260442608</v>
      </c>
      <c r="X7" s="2">
        <f t="shared" si="9"/>
        <v>1.1022718816560404</v>
      </c>
      <c r="Y7" s="12">
        <f t="shared" si="10"/>
        <v>9.2782809176251785E-2</v>
      </c>
      <c r="Z7" s="2">
        <f t="shared" si="11"/>
        <v>1.0334786735755994</v>
      </c>
      <c r="AA7" s="2">
        <f t="shared" si="12"/>
        <v>1.1391744821735645</v>
      </c>
      <c r="AB7" s="2">
        <f t="shared" si="13"/>
        <v>1.0196655479632846</v>
      </c>
      <c r="AC7" s="2">
        <f t="shared" si="14"/>
        <v>2.2089073189178885</v>
      </c>
      <c r="AD7" s="2">
        <f t="shared" si="19"/>
        <v>0.96179941464060414</v>
      </c>
      <c r="AE7" s="2">
        <f t="shared" si="20"/>
        <v>0.20494862625918439</v>
      </c>
    </row>
    <row r="8" spans="1:31" x14ac:dyDescent="0.3">
      <c r="A8" s="1" t="s">
        <v>30</v>
      </c>
      <c r="B8" s="1" t="s">
        <v>33</v>
      </c>
      <c r="C8" s="1">
        <v>8.5660514349038902E-2</v>
      </c>
      <c r="D8" s="1">
        <v>0.537200504413619</v>
      </c>
      <c r="E8" s="16"/>
      <c r="F8" s="2">
        <v>9.81</v>
      </c>
      <c r="G8" s="2">
        <v>3200</v>
      </c>
      <c r="H8" s="18">
        <f t="shared" si="0"/>
        <v>0.05</v>
      </c>
      <c r="I8" s="2">
        <f t="shared" si="1"/>
        <v>2.5000000000000001E-2</v>
      </c>
      <c r="J8" s="2">
        <v>100</v>
      </c>
      <c r="K8" s="8">
        <v>1</v>
      </c>
      <c r="L8" s="2">
        <f t="shared" si="15"/>
        <v>134.45274332225148</v>
      </c>
      <c r="M8" s="4">
        <f t="shared" si="2"/>
        <v>1</v>
      </c>
      <c r="N8" s="2" t="s">
        <v>29</v>
      </c>
      <c r="O8" s="2" t="e">
        <f t="shared" si="16"/>
        <v>#VALUE!</v>
      </c>
      <c r="P8" s="2">
        <f t="shared" si="17"/>
        <v>0.462799495586381</v>
      </c>
      <c r="Q8" s="2">
        <f t="shared" si="18"/>
        <v>0.71757362833887428</v>
      </c>
      <c r="R8" s="2">
        <f t="shared" si="3"/>
        <v>1.3063517278409553E-2</v>
      </c>
      <c r="S8" s="2">
        <f t="shared" si="4"/>
        <v>54.929588490293398</v>
      </c>
      <c r="T8" s="5">
        <f t="shared" si="5"/>
        <v>6.9679260810832755E-2</v>
      </c>
      <c r="U8" s="5">
        <f t="shared" si="6"/>
        <v>1569.6000000000001</v>
      </c>
      <c r="V8" s="2">
        <f t="shared" si="7"/>
        <v>1435.1472566777484</v>
      </c>
      <c r="W8" s="2">
        <f t="shared" si="8"/>
        <v>1647.7181186797341</v>
      </c>
      <c r="X8" s="2">
        <f t="shared" si="9"/>
        <v>1.0936856776868313</v>
      </c>
      <c r="Y8" s="12">
        <f t="shared" si="10"/>
        <v>8.5660514349038902E-2</v>
      </c>
      <c r="Z8" s="2">
        <f t="shared" si="11"/>
        <v>1.0497694436032963</v>
      </c>
      <c r="AA8" s="2">
        <f t="shared" si="12"/>
        <v>1.148117805342199</v>
      </c>
      <c r="AB8" s="2">
        <f t="shared" si="13"/>
        <v>1.0180720275437807</v>
      </c>
      <c r="AC8" s="2">
        <f t="shared" si="14"/>
        <v>2.2685051736268744</v>
      </c>
      <c r="AD8" s="2">
        <f t="shared" si="19"/>
        <v>0.96481265229059432</v>
      </c>
      <c r="AE8" s="2">
        <f t="shared" si="20"/>
        <v>0.19432131997633392</v>
      </c>
    </row>
    <row r="9" spans="1:31" x14ac:dyDescent="0.3">
      <c r="A9" s="1" t="s">
        <v>30</v>
      </c>
      <c r="B9" s="1" t="s">
        <v>33</v>
      </c>
      <c r="C9" s="1">
        <v>0.11288165386526</v>
      </c>
      <c r="D9" s="1">
        <v>0.50315258511979799</v>
      </c>
      <c r="E9" s="16"/>
      <c r="F9" s="2">
        <v>9.81</v>
      </c>
      <c r="G9" s="2">
        <v>3200</v>
      </c>
      <c r="H9" s="18">
        <f t="shared" si="0"/>
        <v>0.05</v>
      </c>
      <c r="I9" s="2">
        <f t="shared" si="1"/>
        <v>2.5000000000000001E-2</v>
      </c>
      <c r="J9" s="2">
        <v>100</v>
      </c>
      <c r="K9" s="8">
        <v>1</v>
      </c>
      <c r="L9" s="2">
        <f t="shared" si="15"/>
        <v>177.17904390691211</v>
      </c>
      <c r="M9" s="4">
        <f t="shared" si="2"/>
        <v>1</v>
      </c>
      <c r="N9" s="2" t="s">
        <v>29</v>
      </c>
      <c r="O9" s="2" t="e">
        <f t="shared" si="16"/>
        <v>#VALUE!</v>
      </c>
      <c r="P9" s="2">
        <f t="shared" si="17"/>
        <v>0.49684741488020201</v>
      </c>
      <c r="Q9" s="2">
        <f t="shared" si="18"/>
        <v>0.69621047804654412</v>
      </c>
      <c r="R9" s="2">
        <f t="shared" si="3"/>
        <v>2.0691783895809137E-2</v>
      </c>
      <c r="S9" s="2">
        <f t="shared" si="4"/>
        <v>33.646711252747664</v>
      </c>
      <c r="T9" s="5">
        <f t="shared" si="5"/>
        <v>7.1817362100455681E-2</v>
      </c>
      <c r="U9" s="5">
        <f t="shared" si="6"/>
        <v>1569.6000000000001</v>
      </c>
      <c r="V9" s="2">
        <f t="shared" si="7"/>
        <v>1392.4209560930881</v>
      </c>
      <c r="W9" s="2">
        <f t="shared" si="8"/>
        <v>1551.068895173752</v>
      </c>
      <c r="X9" s="2">
        <f t="shared" si="9"/>
        <v>1.1272453155287523</v>
      </c>
      <c r="Y9" s="12">
        <f t="shared" si="10"/>
        <v>0.11288165386526</v>
      </c>
      <c r="Z9" s="2">
        <f t="shared" si="11"/>
        <v>0.98819374055412323</v>
      </c>
      <c r="AA9" s="2">
        <f t="shared" si="12"/>
        <v>1.1139367648744707</v>
      </c>
      <c r="AB9" s="2">
        <f t="shared" si="13"/>
        <v>1.024244611521594</v>
      </c>
      <c r="AC9" s="2">
        <f t="shared" si="14"/>
        <v>2.0691511278446297</v>
      </c>
      <c r="AD9" s="2">
        <f t="shared" si="19"/>
        <v>0.95321885514841531</v>
      </c>
      <c r="AE9" s="2">
        <f t="shared" si="20"/>
        <v>0.23356920140826984</v>
      </c>
    </row>
    <row r="10" spans="1:31" x14ac:dyDescent="0.3">
      <c r="A10" s="1" t="s">
        <v>30</v>
      </c>
      <c r="B10" s="1" t="s">
        <v>33</v>
      </c>
      <c r="C10" s="1">
        <v>0.12690078591717899</v>
      </c>
      <c r="D10" s="1">
        <v>0.42244640605296302</v>
      </c>
      <c r="E10" s="16"/>
      <c r="F10" s="2">
        <v>9.81</v>
      </c>
      <c r="G10" s="2">
        <v>3200</v>
      </c>
      <c r="H10" s="18">
        <f t="shared" si="0"/>
        <v>0.05</v>
      </c>
      <c r="I10" s="2">
        <f t="shared" si="1"/>
        <v>2.5000000000000001E-2</v>
      </c>
      <c r="J10" s="2">
        <v>100</v>
      </c>
      <c r="K10" s="8">
        <v>1</v>
      </c>
      <c r="L10" s="2">
        <f t="shared" si="15"/>
        <v>199.18347357560415</v>
      </c>
      <c r="M10" s="4">
        <f t="shared" si="2"/>
        <v>1</v>
      </c>
      <c r="N10" s="2" t="s">
        <v>29</v>
      </c>
      <c r="O10" s="2" t="e">
        <f t="shared" si="16"/>
        <v>#VALUE!</v>
      </c>
      <c r="P10" s="2">
        <f t="shared" si="17"/>
        <v>0.57755359394703698</v>
      </c>
      <c r="Q10" s="2">
        <f t="shared" si="18"/>
        <v>0.68520826321219797</v>
      </c>
      <c r="R10" s="2">
        <f t="shared" si="3"/>
        <v>2.5149702223375758E-2</v>
      </c>
      <c r="S10" s="2">
        <f t="shared" si="4"/>
        <v>27.245183943980106</v>
      </c>
      <c r="T10" s="5">
        <f t="shared" si="5"/>
        <v>7.2970515220590393E-2</v>
      </c>
      <c r="U10" s="5">
        <f t="shared" si="6"/>
        <v>1569.6000000000001</v>
      </c>
      <c r="V10" s="2">
        <f t="shared" si="7"/>
        <v>1370.4165264243959</v>
      </c>
      <c r="W10" s="2">
        <f t="shared" si="8"/>
        <v>1502.4331647176857</v>
      </c>
      <c r="X10" s="2">
        <f t="shared" si="9"/>
        <v>1.1453452069023868</v>
      </c>
      <c r="Y10" s="12">
        <f t="shared" si="10"/>
        <v>0.12690078591717899</v>
      </c>
      <c r="Z10" s="2">
        <f t="shared" si="11"/>
        <v>0.95720767374979965</v>
      </c>
      <c r="AA10" s="2">
        <f t="shared" si="12"/>
        <v>1.0963332211395169</v>
      </c>
      <c r="AB10" s="2">
        <f t="shared" si="13"/>
        <v>1.0275128942544776</v>
      </c>
      <c r="AC10" s="2">
        <f t="shared" si="14"/>
        <v>1.9899640442559217</v>
      </c>
      <c r="AD10" s="2">
        <f t="shared" si="19"/>
        <v>0.94716455826511425</v>
      </c>
      <c r="AE10" s="2">
        <f t="shared" si="20"/>
        <v>0.25252800116300445</v>
      </c>
    </row>
    <row r="11" spans="1:31" x14ac:dyDescent="0.3">
      <c r="A11" s="1" t="s">
        <v>30</v>
      </c>
      <c r="B11" s="1" t="s">
        <v>33</v>
      </c>
      <c r="C11" s="1">
        <v>0.13798132650591599</v>
      </c>
      <c r="D11" s="1">
        <v>0.40226986128625403</v>
      </c>
      <c r="E11" s="16"/>
      <c r="F11" s="2">
        <v>9.81</v>
      </c>
      <c r="G11" s="2">
        <v>3200</v>
      </c>
      <c r="H11" s="18">
        <f t="shared" si="0"/>
        <v>0.05</v>
      </c>
      <c r="I11" s="2">
        <f t="shared" si="1"/>
        <v>2.5000000000000001E-2</v>
      </c>
      <c r="J11" s="2">
        <v>100</v>
      </c>
      <c r="K11" s="8">
        <v>1</v>
      </c>
      <c r="L11" s="2">
        <f t="shared" si="15"/>
        <v>216.57549008368576</v>
      </c>
      <c r="M11" s="4">
        <f t="shared" si="2"/>
        <v>1</v>
      </c>
      <c r="N11" s="2" t="s">
        <v>29</v>
      </c>
      <c r="O11" s="2" t="e">
        <f t="shared" si="16"/>
        <v>#VALUE!</v>
      </c>
      <c r="P11" s="2">
        <f t="shared" si="17"/>
        <v>0.59773013871374592</v>
      </c>
      <c r="Q11" s="2">
        <f t="shared" si="18"/>
        <v>0.67651225495815726</v>
      </c>
      <c r="R11" s="2">
        <f t="shared" si="3"/>
        <v>2.8915199120421363E-2</v>
      </c>
      <c r="S11" s="2">
        <f t="shared" si="4"/>
        <v>23.396423871775117</v>
      </c>
      <c r="T11" s="5">
        <f t="shared" si="5"/>
        <v>7.3908491137522028E-2</v>
      </c>
      <c r="U11" s="5">
        <f t="shared" si="6"/>
        <v>1569.6000000000001</v>
      </c>
      <c r="V11" s="2">
        <f t="shared" si="7"/>
        <v>1353.0245099163144</v>
      </c>
      <c r="W11" s="2">
        <f t="shared" si="8"/>
        <v>1464.5402595474263</v>
      </c>
      <c r="X11" s="2">
        <f t="shared" si="9"/>
        <v>1.1600676768945457</v>
      </c>
      <c r="Y11" s="12">
        <f t="shared" si="10"/>
        <v>0.13798132650591599</v>
      </c>
      <c r="Z11" s="2">
        <f t="shared" si="11"/>
        <v>0.93306591459443566</v>
      </c>
      <c r="AA11" s="2">
        <f t="shared" si="12"/>
        <v>1.0824196079330517</v>
      </c>
      <c r="AB11" s="2">
        <f t="shared" si="13"/>
        <v>1.0301409825256906</v>
      </c>
      <c r="AC11" s="2">
        <f t="shared" si="14"/>
        <v>1.9352031461309525</v>
      </c>
      <c r="AD11" s="2">
        <f t="shared" si="19"/>
        <v>0.94233792413798578</v>
      </c>
      <c r="AE11" s="2">
        <f t="shared" si="20"/>
        <v>0.26702189716157076</v>
      </c>
    </row>
    <row r="12" spans="1:31" x14ac:dyDescent="0.3">
      <c r="A12" s="1" t="s">
        <v>30</v>
      </c>
      <c r="B12" s="1" t="s">
        <v>33</v>
      </c>
      <c r="C12" s="1">
        <v>0.17633268370973201</v>
      </c>
      <c r="D12" s="1">
        <v>0.38083228247162598</v>
      </c>
      <c r="E12" s="16"/>
      <c r="F12" s="2">
        <v>9.81</v>
      </c>
      <c r="G12" s="2">
        <v>3200</v>
      </c>
      <c r="H12" s="18">
        <f t="shared" si="0"/>
        <v>0.05</v>
      </c>
      <c r="I12" s="2">
        <f t="shared" si="1"/>
        <v>2.5000000000000001E-2</v>
      </c>
      <c r="J12" s="2">
        <v>100</v>
      </c>
      <c r="K12" s="8">
        <v>1</v>
      </c>
      <c r="L12" s="2">
        <f t="shared" si="15"/>
        <v>276.77178035079538</v>
      </c>
      <c r="M12" s="4">
        <f t="shared" si="2"/>
        <v>1</v>
      </c>
      <c r="N12" s="2" t="s">
        <v>29</v>
      </c>
      <c r="O12" s="2" t="e">
        <f t="shared" si="16"/>
        <v>#VALUE!</v>
      </c>
      <c r="P12" s="2">
        <f t="shared" si="17"/>
        <v>0.61916771752837407</v>
      </c>
      <c r="Q12" s="2">
        <f t="shared" si="18"/>
        <v>0.64641410982460246</v>
      </c>
      <c r="R12" s="2">
        <f t="shared" si="3"/>
        <v>4.3515805132224715E-2</v>
      </c>
      <c r="S12" s="2">
        <f t="shared" si="4"/>
        <v>14.854697226914322</v>
      </c>
      <c r="T12" s="5">
        <f t="shared" si="5"/>
        <v>7.734979673257282E-2</v>
      </c>
      <c r="U12" s="5">
        <f t="shared" si="6"/>
        <v>1569.6000000000001</v>
      </c>
      <c r="V12" s="2">
        <f t="shared" si="7"/>
        <v>1292.8282196492048</v>
      </c>
      <c r="W12" s="2">
        <f t="shared" si="8"/>
        <v>1337.1238444170663</v>
      </c>
      <c r="X12" s="2">
        <f t="shared" si="9"/>
        <v>1.2140824095144631</v>
      </c>
      <c r="Y12" s="12">
        <f t="shared" si="10"/>
        <v>0.17633268370973201</v>
      </c>
      <c r="Z12" s="2">
        <f t="shared" si="11"/>
        <v>0.85188828008222872</v>
      </c>
      <c r="AA12" s="2">
        <f t="shared" si="12"/>
        <v>1.034262575719364</v>
      </c>
      <c r="AB12" s="2">
        <f t="shared" si="13"/>
        <v>1.0395601745265821</v>
      </c>
      <c r="AC12" s="2">
        <f t="shared" si="14"/>
        <v>1.7832917245772302</v>
      </c>
      <c r="AD12" s="2">
        <f t="shared" si="19"/>
        <v>0.92533871586276584</v>
      </c>
      <c r="AE12" s="2">
        <f t="shared" si="20"/>
        <v>0.31445261563205934</v>
      </c>
    </row>
    <row r="13" spans="1:31" x14ac:dyDescent="0.3">
      <c r="A13" s="1" t="s">
        <v>30</v>
      </c>
      <c r="B13" s="1" t="s">
        <v>33</v>
      </c>
      <c r="C13" s="1">
        <v>0.18839084412854901</v>
      </c>
      <c r="D13" s="1">
        <v>0.339218158890289</v>
      </c>
      <c r="E13" s="16"/>
      <c r="F13" s="2">
        <v>9.81</v>
      </c>
      <c r="G13" s="2">
        <v>3200</v>
      </c>
      <c r="H13" s="18">
        <f t="shared" si="0"/>
        <v>0.05</v>
      </c>
      <c r="I13" s="2">
        <f t="shared" si="1"/>
        <v>2.5000000000000001E-2</v>
      </c>
      <c r="J13" s="2">
        <v>100</v>
      </c>
      <c r="K13" s="8">
        <v>1</v>
      </c>
      <c r="L13" s="2">
        <f t="shared" si="15"/>
        <v>295.69826894417054</v>
      </c>
      <c r="M13" s="4">
        <f t="shared" si="2"/>
        <v>1</v>
      </c>
      <c r="N13" s="2" t="s">
        <v>29</v>
      </c>
      <c r="O13" s="2" t="e">
        <f t="shared" si="16"/>
        <v>#VALUE!</v>
      </c>
      <c r="P13" s="2">
        <f t="shared" si="17"/>
        <v>0.66078184110971105</v>
      </c>
      <c r="Q13" s="2">
        <f t="shared" si="18"/>
        <v>0.63695086552791491</v>
      </c>
      <c r="R13" s="2">
        <f t="shared" si="3"/>
        <v>4.8587585123681616E-2</v>
      </c>
      <c r="S13" s="2">
        <f t="shared" si="4"/>
        <v>13.109333668395566</v>
      </c>
      <c r="T13" s="5">
        <f t="shared" si="5"/>
        <v>7.8498990590991996E-2</v>
      </c>
      <c r="U13" s="5">
        <f t="shared" si="6"/>
        <v>1569.6000000000001</v>
      </c>
      <c r="V13" s="2">
        <f t="shared" si="7"/>
        <v>1273.9017310558297</v>
      </c>
      <c r="W13" s="2">
        <f t="shared" si="8"/>
        <v>1298.2604963096319</v>
      </c>
      <c r="X13" s="2">
        <f t="shared" si="9"/>
        <v>1.2321201563162105</v>
      </c>
      <c r="Y13" s="12">
        <f t="shared" si="10"/>
        <v>0.18839084412854901</v>
      </c>
      <c r="Z13" s="2">
        <f t="shared" si="11"/>
        <v>0.82712824688432196</v>
      </c>
      <c r="AA13" s="2">
        <f t="shared" si="12"/>
        <v>1.0191213848446641</v>
      </c>
      <c r="AB13" s="2">
        <f t="shared" si="13"/>
        <v>1.0426309496386978</v>
      </c>
      <c r="AC13" s="2">
        <f t="shared" si="14"/>
        <v>1.7444026428291546</v>
      </c>
      <c r="AD13" s="2">
        <f t="shared" si="19"/>
        <v>0.91989609463336286</v>
      </c>
      <c r="AE13" s="2">
        <f t="shared" si="20"/>
        <v>0.32862948638265627</v>
      </c>
    </row>
    <row r="14" spans="1:31" x14ac:dyDescent="0.3">
      <c r="A14" s="1" t="s">
        <v>30</v>
      </c>
      <c r="B14" s="1" t="s">
        <v>33</v>
      </c>
      <c r="C14" s="1">
        <v>0.26151808119021203</v>
      </c>
      <c r="D14" s="1">
        <v>0.26986128625472799</v>
      </c>
      <c r="E14" s="16"/>
      <c r="F14" s="2">
        <v>9.81</v>
      </c>
      <c r="G14" s="2">
        <v>3200</v>
      </c>
      <c r="H14" s="18">
        <f t="shared" si="0"/>
        <v>0.05</v>
      </c>
      <c r="I14" s="2">
        <f t="shared" si="1"/>
        <v>2.5000000000000001E-2</v>
      </c>
      <c r="J14" s="2">
        <v>100</v>
      </c>
      <c r="K14" s="8">
        <v>1</v>
      </c>
      <c r="L14" s="2">
        <f t="shared" si="15"/>
        <v>410.47878023615681</v>
      </c>
      <c r="M14" s="4">
        <f t="shared" si="2"/>
        <v>1</v>
      </c>
      <c r="N14" s="2" t="s">
        <v>29</v>
      </c>
      <c r="O14" s="2" t="e">
        <f t="shared" si="16"/>
        <v>#VALUE!</v>
      </c>
      <c r="P14" s="2">
        <f t="shared" si="17"/>
        <v>0.73013871374527195</v>
      </c>
      <c r="Q14" s="2">
        <f t="shared" si="18"/>
        <v>0.57956060988192171</v>
      </c>
      <c r="R14" s="2">
        <f t="shared" si="3"/>
        <v>8.3932185056072389E-2</v>
      </c>
      <c r="S14" s="2">
        <f t="shared" si="4"/>
        <v>6.9051057052158944</v>
      </c>
      <c r="T14" s="5">
        <f t="shared" si="5"/>
        <v>8.6272253751314962E-2</v>
      </c>
      <c r="U14" s="5">
        <f t="shared" si="6"/>
        <v>1569.6000000000001</v>
      </c>
      <c r="V14" s="2">
        <f t="shared" si="7"/>
        <v>1159.1212197638433</v>
      </c>
      <c r="W14" s="2">
        <f t="shared" si="8"/>
        <v>1074.849601685456</v>
      </c>
      <c r="X14" s="2">
        <f t="shared" si="9"/>
        <v>1.3541292948806396</v>
      </c>
      <c r="Y14" s="12">
        <f t="shared" si="10"/>
        <v>0.26151808119021203</v>
      </c>
      <c r="Z14" s="2">
        <f t="shared" si="11"/>
        <v>0.68479205000347598</v>
      </c>
      <c r="AA14" s="2">
        <f t="shared" si="12"/>
        <v>0.92729697581107473</v>
      </c>
      <c r="AB14" s="2">
        <f t="shared" si="13"/>
        <v>1.0625075548052147</v>
      </c>
      <c r="AC14" s="2">
        <f t="shared" si="14"/>
        <v>1.5637455721645996</v>
      </c>
      <c r="AD14" s="2">
        <f t="shared" si="19"/>
        <v>0.88580055194295904</v>
      </c>
      <c r="AE14" s="2">
        <f t="shared" si="20"/>
        <v>0.40894774150217633</v>
      </c>
    </row>
    <row r="15" spans="1:31" x14ac:dyDescent="0.3">
      <c r="A15" s="1" t="s">
        <v>30</v>
      </c>
      <c r="B15" s="1" t="s">
        <v>33</v>
      </c>
      <c r="C15" s="1">
        <v>5.5028214044607497E-2</v>
      </c>
      <c r="D15" s="1">
        <v>0.65321563682219397</v>
      </c>
      <c r="F15" s="2">
        <v>9.81</v>
      </c>
      <c r="G15" s="2">
        <v>3200</v>
      </c>
      <c r="H15" s="18">
        <f t="shared" si="0"/>
        <v>0.05</v>
      </c>
      <c r="I15" s="2">
        <f t="shared" si="1"/>
        <v>2.5000000000000001E-2</v>
      </c>
      <c r="J15" s="2">
        <v>100</v>
      </c>
      <c r="K15" s="8">
        <v>1</v>
      </c>
      <c r="L15" s="2">
        <f>C15*U15</f>
        <v>86.372284764415937</v>
      </c>
      <c r="M15" s="4">
        <f t="shared" si="2"/>
        <v>1</v>
      </c>
      <c r="N15" s="2" t="s">
        <v>29</v>
      </c>
      <c r="O15" s="2" t="e">
        <f>N15-1</f>
        <v>#VALUE!</v>
      </c>
      <c r="P15" s="2">
        <f>1-D15</f>
        <v>0.34678436317780603</v>
      </c>
      <c r="Q15" s="2">
        <f>(((U15-L15)*(H15^K15))/(J15))^(1/K15)</f>
        <v>0.74161385761779219</v>
      </c>
      <c r="R15" s="2">
        <f>(((L15^(((2*K15)+3)/3))*(H15^K15)*(1/J15))/((U15*M15)^(2*K15/3)))^(1/K15)</f>
        <v>6.2479089337437082E-3</v>
      </c>
      <c r="S15" s="2">
        <f>Q15/R15</f>
        <v>118.69793005664405</v>
      </c>
      <c r="T15" s="5">
        <f>(J15+(L15*H15/Q15))/U15</f>
        <v>6.7420530895430833E-2</v>
      </c>
      <c r="U15" s="5">
        <f>F15*G15*H15</f>
        <v>1569.6000000000001</v>
      </c>
      <c r="V15" s="2">
        <f>J15*((Q15/H15)^(K15))</f>
        <v>1483.2277152355844</v>
      </c>
      <c r="W15" s="2">
        <f>G15*Q15*Q15</f>
        <v>1759.9715641943774</v>
      </c>
      <c r="X15" s="2">
        <f>U15/V15</f>
        <v>1.0582326529346824</v>
      </c>
      <c r="Y15" s="12">
        <f>L15/U15</f>
        <v>5.5028214044607497E-2</v>
      </c>
      <c r="Z15" s="2">
        <f>W15/U15</f>
        <v>1.1212866744357652</v>
      </c>
      <c r="AA15" s="2">
        <f>W15/V15</f>
        <v>1.1865821721884675</v>
      </c>
      <c r="AB15" s="2">
        <f>(X15*M15)^((1)/((2*K15)+3))</f>
        <v>1.0113843557346629</v>
      </c>
      <c r="AC15" s="2">
        <f>((1/Y15)*M15)^(1/3)</f>
        <v>2.6290864126258326</v>
      </c>
      <c r="AD15" s="2">
        <f>((1/X15)*(1/M15))^((2)/((2*K15)+3))</f>
        <v>0.97761428023834052</v>
      </c>
      <c r="AE15" s="2">
        <f>((Y15)*(1/M15))^(2/3)</f>
        <v>0.14467392985574365</v>
      </c>
    </row>
    <row r="16" spans="1:31" x14ac:dyDescent="0.3">
      <c r="A16" s="1" t="s">
        <v>30</v>
      </c>
      <c r="B16" s="1" t="s">
        <v>33</v>
      </c>
      <c r="C16" s="1">
        <v>7.2140700829225399E-2</v>
      </c>
      <c r="D16" s="1">
        <v>0.61412358133669598</v>
      </c>
      <c r="F16" s="2">
        <v>9.81</v>
      </c>
      <c r="G16" s="2">
        <v>3200</v>
      </c>
      <c r="H16" s="18">
        <f t="shared" si="0"/>
        <v>0.05</v>
      </c>
      <c r="I16" s="2">
        <f t="shared" si="1"/>
        <v>2.5000000000000001E-2</v>
      </c>
      <c r="J16" s="2">
        <v>100</v>
      </c>
      <c r="K16" s="8">
        <v>1</v>
      </c>
      <c r="L16" s="2">
        <f>C16*U16</f>
        <v>113.2320440215522</v>
      </c>
      <c r="M16" s="4">
        <f t="shared" si="2"/>
        <v>1</v>
      </c>
      <c r="N16" s="2" t="s">
        <v>29</v>
      </c>
      <c r="O16" s="2" t="e">
        <f>N16-1</f>
        <v>#VALUE!</v>
      </c>
      <c r="P16" s="2">
        <f>1-D16</f>
        <v>0.38587641866330402</v>
      </c>
      <c r="Q16" s="2">
        <f>(((U16-L16)*(H16^K16))/(J16))^(1/K16)</f>
        <v>0.72818397798922407</v>
      </c>
      <c r="R16" s="2">
        <f>(((L16^(((2*K16)+3)/3))*(H16^K16)*(1/J16))/((U16*M16)^(2*K16/3)))^(1/K16)</f>
        <v>9.8112932410650902E-3</v>
      </c>
      <c r="S16" s="2">
        <f>Q16/R16</f>
        <v>74.218959733199682</v>
      </c>
      <c r="T16" s="5">
        <f>(J16+(L16*H16/Q16))/U16</f>
        <v>6.8663966128543308E-2</v>
      </c>
      <c r="U16" s="5">
        <f>F16*G16*H16</f>
        <v>1569.6000000000001</v>
      </c>
      <c r="V16" s="2">
        <f>J16*((Q16/H16)^(K16))</f>
        <v>1456.367955978448</v>
      </c>
      <c r="W16" s="2">
        <f>G16*Q16*Q16</f>
        <v>1696.8060985606744</v>
      </c>
      <c r="X16" s="2">
        <f>U16/V16</f>
        <v>1.0777496123536159</v>
      </c>
      <c r="Y16" s="12">
        <f>L16/U16</f>
        <v>7.2140700829225399E-2</v>
      </c>
      <c r="Z16" s="2">
        <f>W16/U16</f>
        <v>1.0810436407751491</v>
      </c>
      <c r="AA16" s="2">
        <f>W16/V16</f>
        <v>1.1650943647827585</v>
      </c>
      <c r="AB16" s="2">
        <f>(X16*M16)^((1)/((2*K16)+3))</f>
        <v>1.0150877226270583</v>
      </c>
      <c r="AC16" s="2">
        <f>((1/Y16)*M16)^(1/3)</f>
        <v>2.4021855358287589</v>
      </c>
      <c r="AD16" s="2">
        <f>((1/X16)*(1/M16))^((2)/((2*K16)+3))</f>
        <v>0.97049398911770701</v>
      </c>
      <c r="AE16" s="2">
        <f>((Y16)*(1/M16))^(2/3)</f>
        <v>0.17329534807651506</v>
      </c>
    </row>
    <row r="17" spans="1:31" x14ac:dyDescent="0.3">
      <c r="A17" s="1" t="s">
        <v>30</v>
      </c>
      <c r="B17" s="1" t="s">
        <v>33</v>
      </c>
      <c r="C17" s="1">
        <v>9.8239010534092494E-2</v>
      </c>
      <c r="D17" s="1">
        <v>0.50567465321563598</v>
      </c>
      <c r="F17" s="2">
        <v>9.81</v>
      </c>
      <c r="G17" s="2">
        <v>3200</v>
      </c>
      <c r="H17" s="18">
        <f t="shared" si="0"/>
        <v>0.05</v>
      </c>
      <c r="I17" s="2">
        <f t="shared" si="1"/>
        <v>2.5000000000000001E-2</v>
      </c>
      <c r="J17" s="2">
        <v>100</v>
      </c>
      <c r="K17" s="8">
        <v>1</v>
      </c>
      <c r="L17" s="2">
        <f>C17*U17</f>
        <v>154.19595093431158</v>
      </c>
      <c r="M17" s="4">
        <f t="shared" si="2"/>
        <v>1</v>
      </c>
      <c r="N17" s="2" t="s">
        <v>29</v>
      </c>
      <c r="O17" s="2" t="e">
        <f>N17-1</f>
        <v>#VALUE!</v>
      </c>
      <c r="P17" s="2">
        <f>1-D17</f>
        <v>0.49432534678436402</v>
      </c>
      <c r="Q17" s="2">
        <f>(((U17-L17)*(H17^K17))/(J17))^(1/K17)</f>
        <v>0.70770202453284425</v>
      </c>
      <c r="R17" s="2">
        <f>(((L17^(((2*K17)+3)/3))*(H17^K17)*(1/J17))/((U17*M17)^(2*K17/3)))^(1/K17)</f>
        <v>1.6414675200144037E-2</v>
      </c>
      <c r="S17" s="2">
        <f>Q17/R17</f>
        <v>43.113982817438526</v>
      </c>
      <c r="T17" s="5">
        <f>(J17+(L17*H17/Q17))/U17</f>
        <v>7.0651203849536978E-2</v>
      </c>
      <c r="U17" s="5">
        <f>F17*G17*H17</f>
        <v>1569.6000000000001</v>
      </c>
      <c r="V17" s="2">
        <f>J17*((Q17/H17)^(K17))</f>
        <v>1415.4040490656885</v>
      </c>
      <c r="W17" s="2">
        <f>G17*Q17*Q17</f>
        <v>1602.6948976892368</v>
      </c>
      <c r="X17" s="2">
        <f>U17/V17</f>
        <v>1.1089412956223326</v>
      </c>
      <c r="Y17" s="12">
        <f>L17/U17</f>
        <v>9.8239010534092494E-2</v>
      </c>
      <c r="Z17" s="2">
        <f>W17/U17</f>
        <v>1.0210849246236218</v>
      </c>
      <c r="AA17" s="2">
        <f>W17/V17</f>
        <v>1.1323232392525509</v>
      </c>
      <c r="AB17" s="2">
        <f>(X17*M17)^((1)/((2*K17)+3))</f>
        <v>1.0208964914764478</v>
      </c>
      <c r="AC17" s="2">
        <f>((1/Y17)*M17)^(1/3)</f>
        <v>2.1672316783331542</v>
      </c>
      <c r="AD17" s="2">
        <f>((1/X17)*(1/M17))^((2)/((2*K17)+3))</f>
        <v>0.95948143822383292</v>
      </c>
      <c r="AE17" s="2">
        <f>((Y17)*(1/M17))^(2/3)</f>
        <v>0.21290669567758971</v>
      </c>
    </row>
    <row r="18" spans="1:31" x14ac:dyDescent="0.3">
      <c r="A18" s="1" t="s">
        <v>30</v>
      </c>
      <c r="B18" s="1" t="s">
        <v>33</v>
      </c>
      <c r="C18" s="1">
        <v>0.14807851529162999</v>
      </c>
      <c r="D18" s="1">
        <v>0.39974779319041598</v>
      </c>
      <c r="F18" s="2">
        <v>9.81</v>
      </c>
      <c r="G18" s="2">
        <v>3200</v>
      </c>
      <c r="H18" s="18">
        <f t="shared" si="0"/>
        <v>0.05</v>
      </c>
      <c r="I18" s="2">
        <f t="shared" si="1"/>
        <v>2.5000000000000001E-2</v>
      </c>
      <c r="J18" s="2">
        <v>100</v>
      </c>
      <c r="K18" s="8">
        <v>1</v>
      </c>
      <c r="L18" s="2">
        <f>C18*U18</f>
        <v>232.42403760174247</v>
      </c>
      <c r="M18" s="4">
        <f t="shared" si="2"/>
        <v>1</v>
      </c>
      <c r="N18" s="2" t="s">
        <v>29</v>
      </c>
      <c r="O18" s="2" t="e">
        <f>N18-1</f>
        <v>#VALUE!</v>
      </c>
      <c r="P18" s="2">
        <f>1-D18</f>
        <v>0.60025220680958402</v>
      </c>
      <c r="Q18" s="2">
        <f>(((U18-L18)*(H18^K18))/(J18))^(1/K18)</f>
        <v>0.66858798119912888</v>
      </c>
      <c r="R18" s="2">
        <f>(((L18^(((2*K18)+3)/3))*(H18^K18)*(1/J18))/((U18*M18)^(2*K18/3)))^(1/K18)</f>
        <v>3.2527130085961108E-2</v>
      </c>
      <c r="S18" s="2">
        <f>Q18/R18</f>
        <v>20.554779331352545</v>
      </c>
      <c r="T18" s="5">
        <f>(J18+(L18*H18/Q18))/U18</f>
        <v>7.478447325709292E-2</v>
      </c>
      <c r="U18" s="5">
        <f>F18*G18*H18</f>
        <v>1569.6000000000001</v>
      </c>
      <c r="V18" s="2">
        <f>J18*((Q18/H18)^(K18))</f>
        <v>1337.1759623982578</v>
      </c>
      <c r="W18" s="2">
        <f>G18*Q18*Q18</f>
        <v>1430.4316435325654</v>
      </c>
      <c r="X18" s="2">
        <f>U18/V18</f>
        <v>1.1738170922433306</v>
      </c>
      <c r="Y18" s="12">
        <f>L18/U18</f>
        <v>0.14807851529162999</v>
      </c>
      <c r="Z18" s="2">
        <f>W18/U18</f>
        <v>0.91133514496213386</v>
      </c>
      <c r="AA18" s="2">
        <f>W18/V18</f>
        <v>1.0697407699186061</v>
      </c>
      <c r="AB18" s="2">
        <f>(X18*M18)^((1)/((2*K18)+3))</f>
        <v>1.0325713856420833</v>
      </c>
      <c r="AC18" s="2">
        <f>((1/Y18)*M18)^(1/3)</f>
        <v>1.8901777628252354</v>
      </c>
      <c r="AD18" s="2">
        <f>((1/X18)*(1/M18))^((2)/((2*K18)+3))</f>
        <v>0.93790711049846642</v>
      </c>
      <c r="AE18" s="2">
        <f>((Y18)*(1/M18))^(2/3)</f>
        <v>0.2798947167564157</v>
      </c>
    </row>
    <row r="19" spans="1:31" x14ac:dyDescent="0.3">
      <c r="A19" s="1" t="s">
        <v>30</v>
      </c>
      <c r="B19" s="1" t="s">
        <v>33</v>
      </c>
      <c r="C19" s="1">
        <v>0.20957239481829601</v>
      </c>
      <c r="D19" s="1">
        <v>0.31904161412358101</v>
      </c>
      <c r="F19" s="2">
        <v>9.81</v>
      </c>
      <c r="G19" s="2">
        <v>3200</v>
      </c>
      <c r="H19" s="18">
        <f t="shared" si="0"/>
        <v>0.05</v>
      </c>
      <c r="I19" s="2">
        <f t="shared" si="1"/>
        <v>2.5000000000000001E-2</v>
      </c>
      <c r="J19" s="2">
        <v>100</v>
      </c>
      <c r="K19" s="8">
        <v>1</v>
      </c>
      <c r="L19" s="2">
        <f>C19*U19</f>
        <v>328.94483090679745</v>
      </c>
      <c r="M19" s="4">
        <f t="shared" si="2"/>
        <v>1</v>
      </c>
      <c r="N19" s="2" t="s">
        <v>29</v>
      </c>
      <c r="O19" s="2" t="e">
        <f>N19-1</f>
        <v>#VALUE!</v>
      </c>
      <c r="P19" s="2">
        <f>1-D19</f>
        <v>0.68095838587641899</v>
      </c>
      <c r="Q19" s="2">
        <f>(((U19-L19)*(H19^K19))/(J19))^(1/K19)</f>
        <v>0.62032758454660131</v>
      </c>
      <c r="R19" s="2">
        <f>(((L19^(((2*K19)+3)/3))*(H19^K19)*(1/J19))/((U19*M19)^(2*K19/3)))^(1/K19)</f>
        <v>5.8029539118769166E-2</v>
      </c>
      <c r="S19" s="2">
        <f>Q19/R19</f>
        <v>10.689858888539089</v>
      </c>
      <c r="T19" s="5">
        <f>(J19+(L19*H19/Q19))/U19</f>
        <v>8.0602573939292252E-2</v>
      </c>
      <c r="U19" s="5">
        <f>F19*G19*H19</f>
        <v>1569.6000000000001</v>
      </c>
      <c r="V19" s="2">
        <f>J19*((Q19/H19)^(K19))</f>
        <v>1240.6551690932024</v>
      </c>
      <c r="W19" s="2">
        <f>G19*Q19*Q19</f>
        <v>1231.3801988781465</v>
      </c>
      <c r="X19" s="2">
        <f>U19/V19</f>
        <v>1.2651380005511317</v>
      </c>
      <c r="Y19" s="12">
        <f>L19/U19</f>
        <v>0.20957239481829601</v>
      </c>
      <c r="Z19" s="2">
        <f>W19/U19</f>
        <v>0.78451847533011365</v>
      </c>
      <c r="AA19" s="2">
        <f>W19/V19</f>
        <v>0.99252413527456229</v>
      </c>
      <c r="AB19" s="2">
        <f>(X19*M19)^((1)/((2*K19)+3))</f>
        <v>1.0481599952973417</v>
      </c>
      <c r="AC19" s="2">
        <f>((1/Y19)*M19)^(1/3)</f>
        <v>1.6835343215631209</v>
      </c>
      <c r="AD19" s="2">
        <f>((1/X19)*(1/M19))^((2)/((2*K19)+3))</f>
        <v>0.91021678457944488</v>
      </c>
      <c r="AE19" s="2">
        <f>((Y19)*(1/M19))^(2/3)</f>
        <v>0.35282231952877857</v>
      </c>
    </row>
    <row r="20" spans="1:31" x14ac:dyDescent="0.3">
      <c r="A20" s="1" t="s">
        <v>31</v>
      </c>
      <c r="B20" s="1" t="s">
        <v>33</v>
      </c>
      <c r="C20" s="1">
        <v>4.5939215611346701E-2</v>
      </c>
      <c r="D20" s="1">
        <v>0.65447667087011296</v>
      </c>
      <c r="F20" s="2">
        <v>9.81</v>
      </c>
      <c r="G20" s="2">
        <v>5800</v>
      </c>
      <c r="H20" s="18">
        <f t="shared" si="0"/>
        <v>0.05</v>
      </c>
      <c r="I20" s="2">
        <f t="shared" si="1"/>
        <v>2.5000000000000001E-2</v>
      </c>
      <c r="J20" s="2">
        <v>100</v>
      </c>
      <c r="K20" s="8">
        <v>1</v>
      </c>
      <c r="L20" s="2">
        <f t="shared" ref="L20:L36" si="21">C20*U20</f>
        <v>130.69247449272024</v>
      </c>
      <c r="M20" s="4">
        <f t="shared" si="2"/>
        <v>1</v>
      </c>
      <c r="N20" s="2" t="s">
        <v>29</v>
      </c>
      <c r="O20" s="2" t="e">
        <f t="shared" ref="O20:O36" si="22">N20-1</f>
        <v>#VALUE!</v>
      </c>
      <c r="P20" s="2">
        <f t="shared" ref="P20:P36" si="23">1-D20</f>
        <v>0.34552332912988704</v>
      </c>
      <c r="Q20" s="2">
        <f t="shared" ref="Q20:Q36" si="24">(((U20-L20)*(H20^K20))/(J20))^(1/K20)</f>
        <v>1.3571037627536402</v>
      </c>
      <c r="R20" s="2">
        <f t="shared" ref="R20:R36" si="25">(((L20^(((2*K20)+3)/3))*(H20^K20)*(1/J20))/((U20*M20)^(2*K20/3)))^(1/K20)</f>
        <v>8.3819095284225816E-3</v>
      </c>
      <c r="S20" s="2">
        <f t="shared" ref="S20:S36" si="26">Q20/R20</f>
        <v>161.90866271602886</v>
      </c>
      <c r="T20" s="5">
        <f t="shared" ref="T20:T36" si="27">(J20+(L20*H20/Q20))/U20</f>
        <v>3.6843166581858988E-2</v>
      </c>
      <c r="U20" s="5">
        <f t="shared" ref="U20:U36" si="28">F20*G20*H20</f>
        <v>2844.9</v>
      </c>
      <c r="V20" s="2">
        <f t="shared" ref="V20:V36" si="29">J20*((Q20/H20)^(K20))</f>
        <v>2714.2075255072805</v>
      </c>
      <c r="W20" s="2">
        <f t="shared" ref="W20:W36" si="30">G20*Q20*Q20</f>
        <v>10682.037612704513</v>
      </c>
      <c r="X20" s="2">
        <f t="shared" ref="X20:X36" si="31">U20/V20</f>
        <v>1.0481512460873061</v>
      </c>
      <c r="Y20" s="12">
        <f t="shared" ref="Y20:Y36" si="32">L20/U20</f>
        <v>4.5939215611346701E-2</v>
      </c>
      <c r="Z20" s="2">
        <f t="shared" ref="Z20:Z36" si="33">W20/U20</f>
        <v>3.75480249312964</v>
      </c>
      <c r="AA20" s="2">
        <f t="shared" ref="AA20:AA36" si="34">W20/V20</f>
        <v>3.9356009119855564</v>
      </c>
      <c r="AB20" s="2">
        <f t="shared" ref="AB20:AB36" si="35">(X20*M20)^((1)/((2*K20)+3))</f>
        <v>1.0094499503150771</v>
      </c>
      <c r="AC20" s="2">
        <f t="shared" ref="AC20:AC36" si="36">((1/Y20)*M20)^(1/3)</f>
        <v>2.7921504010540379</v>
      </c>
      <c r="AD20" s="2">
        <f t="shared" ref="AD20:AD36" si="37">((1/X20)*(1/M20))^((2)/((2*K20)+3))</f>
        <v>0.98136466789807031</v>
      </c>
      <c r="AE20" s="2">
        <f t="shared" ref="AE20:AE36" si="38">((Y20)*(1/M20))^(2/3)</f>
        <v>0.12826919929332961</v>
      </c>
    </row>
    <row r="21" spans="1:31" x14ac:dyDescent="0.3">
      <c r="A21" s="1" t="s">
        <v>31</v>
      </c>
      <c r="B21" s="1" t="s">
        <v>33</v>
      </c>
      <c r="C21" s="1">
        <v>8.31620110308635E-2</v>
      </c>
      <c r="D21" s="1">
        <v>0.55485498108448905</v>
      </c>
      <c r="F21" s="2">
        <v>9.81</v>
      </c>
      <c r="G21" s="2">
        <v>5800</v>
      </c>
      <c r="H21" s="18">
        <f t="shared" ref="H21:H45" si="39">50/1000</f>
        <v>0.05</v>
      </c>
      <c r="I21" s="2">
        <f t="shared" si="1"/>
        <v>2.5000000000000001E-2</v>
      </c>
      <c r="J21" s="2">
        <v>100</v>
      </c>
      <c r="K21" s="8">
        <v>1</v>
      </c>
      <c r="L21" s="2">
        <f t="shared" si="21"/>
        <v>236.58760518170357</v>
      </c>
      <c r="M21" s="4">
        <f t="shared" si="2"/>
        <v>1</v>
      </c>
      <c r="N21" s="2" t="s">
        <v>29</v>
      </c>
      <c r="O21" s="2" t="e">
        <f t="shared" si="22"/>
        <v>#VALUE!</v>
      </c>
      <c r="P21" s="2">
        <f t="shared" si="23"/>
        <v>0.44514501891551095</v>
      </c>
      <c r="Q21" s="2">
        <f t="shared" si="24"/>
        <v>1.3041561974091482</v>
      </c>
      <c r="R21" s="2">
        <f t="shared" si="25"/>
        <v>2.2537823898755662E-2</v>
      </c>
      <c r="S21" s="2">
        <f t="shared" si="26"/>
        <v>57.865222626091779</v>
      </c>
      <c r="T21" s="5">
        <f t="shared" si="27"/>
        <v>3.833896591476587E-2</v>
      </c>
      <c r="U21" s="5">
        <f t="shared" si="28"/>
        <v>2844.9</v>
      </c>
      <c r="V21" s="2">
        <f t="shared" si="29"/>
        <v>2608.3123948182961</v>
      </c>
      <c r="W21" s="2">
        <f t="shared" si="30"/>
        <v>9864.7756459959983</v>
      </c>
      <c r="X21" s="2">
        <f t="shared" si="31"/>
        <v>1.0907052413091745</v>
      </c>
      <c r="Y21" s="12">
        <f t="shared" si="32"/>
        <v>8.31620110308635E-2</v>
      </c>
      <c r="Z21" s="2">
        <f t="shared" si="33"/>
        <v>3.4675298414692954</v>
      </c>
      <c r="AA21" s="2">
        <f t="shared" si="34"/>
        <v>3.7820529724865306</v>
      </c>
      <c r="AB21" s="2">
        <f t="shared" si="35"/>
        <v>1.0175165458490361</v>
      </c>
      <c r="AC21" s="2">
        <f t="shared" si="36"/>
        <v>2.2909995595173607</v>
      </c>
      <c r="AD21" s="2">
        <f t="shared" si="37"/>
        <v>0.96586635909894503</v>
      </c>
      <c r="AE21" s="2">
        <f t="shared" si="38"/>
        <v>0.19052413064028614</v>
      </c>
    </row>
    <row r="22" spans="1:31" x14ac:dyDescent="0.3">
      <c r="A22" s="1" t="s">
        <v>31</v>
      </c>
      <c r="B22" s="1" t="s">
        <v>33</v>
      </c>
      <c r="C22" s="1">
        <v>8.7244449539531505E-2</v>
      </c>
      <c r="D22" s="1">
        <v>0.58259773013871297</v>
      </c>
      <c r="F22" s="2">
        <v>9.81</v>
      </c>
      <c r="G22" s="2">
        <v>5800</v>
      </c>
      <c r="H22" s="18">
        <f t="shared" si="39"/>
        <v>0.05</v>
      </c>
      <c r="I22" s="2">
        <f t="shared" si="1"/>
        <v>2.5000000000000001E-2</v>
      </c>
      <c r="J22" s="2">
        <v>100</v>
      </c>
      <c r="K22" s="8">
        <v>1</v>
      </c>
      <c r="L22" s="2">
        <f t="shared" si="21"/>
        <v>248.2017344950132</v>
      </c>
      <c r="M22" s="4">
        <f t="shared" si="2"/>
        <v>1</v>
      </c>
      <c r="N22" s="2" t="s">
        <v>29</v>
      </c>
      <c r="O22" s="2" t="e">
        <f t="shared" si="22"/>
        <v>#VALUE!</v>
      </c>
      <c r="P22" s="2">
        <f t="shared" si="23"/>
        <v>0.41740226986128703</v>
      </c>
      <c r="Q22" s="2">
        <f t="shared" si="24"/>
        <v>1.2983491327524936</v>
      </c>
      <c r="R22" s="2">
        <f t="shared" si="25"/>
        <v>2.4411812242880686E-2</v>
      </c>
      <c r="S22" s="2">
        <f t="shared" si="26"/>
        <v>53.185282593312436</v>
      </c>
      <c r="T22" s="5">
        <f t="shared" si="27"/>
        <v>3.8510442791300871E-2</v>
      </c>
      <c r="U22" s="5">
        <f t="shared" si="28"/>
        <v>2844.9</v>
      </c>
      <c r="V22" s="2">
        <f t="shared" si="29"/>
        <v>2596.6982655049874</v>
      </c>
      <c r="W22" s="2">
        <f t="shared" si="30"/>
        <v>9777.1207290110833</v>
      </c>
      <c r="X22" s="2">
        <f t="shared" si="31"/>
        <v>1.0955835869697184</v>
      </c>
      <c r="Y22" s="12">
        <f t="shared" si="32"/>
        <v>8.7244449539531505E-2</v>
      </c>
      <c r="Z22" s="2">
        <f t="shared" si="33"/>
        <v>3.4367185943305856</v>
      </c>
      <c r="AA22" s="2">
        <f t="shared" si="34"/>
        <v>3.7652124849822313</v>
      </c>
      <c r="AB22" s="2">
        <f t="shared" si="35"/>
        <v>1.0184251214126347</v>
      </c>
      <c r="AC22" s="2">
        <f t="shared" si="36"/>
        <v>2.2546929024297166</v>
      </c>
      <c r="AD22" s="2">
        <f t="shared" si="37"/>
        <v>0.96414375603317526</v>
      </c>
      <c r="AE22" s="2">
        <f t="shared" si="38"/>
        <v>0.19670944115316924</v>
      </c>
    </row>
    <row r="23" spans="1:31" x14ac:dyDescent="0.3">
      <c r="A23" s="1" t="s">
        <v>31</v>
      </c>
      <c r="B23" s="1" t="s">
        <v>33</v>
      </c>
      <c r="C23" s="1">
        <v>0.104720598163221</v>
      </c>
      <c r="D23" s="1">
        <v>0.45018915510718699</v>
      </c>
      <c r="F23" s="2">
        <v>9.81</v>
      </c>
      <c r="G23" s="2">
        <v>5800</v>
      </c>
      <c r="H23" s="18">
        <f t="shared" si="39"/>
        <v>0.05</v>
      </c>
      <c r="I23" s="2">
        <f t="shared" si="1"/>
        <v>2.5000000000000001E-2</v>
      </c>
      <c r="J23" s="2">
        <v>100</v>
      </c>
      <c r="K23" s="8">
        <v>1</v>
      </c>
      <c r="L23" s="2">
        <f t="shared" si="21"/>
        <v>297.91962971454745</v>
      </c>
      <c r="M23" s="4">
        <f t="shared" si="2"/>
        <v>1</v>
      </c>
      <c r="N23" s="2" t="s">
        <v>29</v>
      </c>
      <c r="O23" s="2" t="e">
        <f t="shared" si="22"/>
        <v>#VALUE!</v>
      </c>
      <c r="P23" s="2">
        <f t="shared" si="23"/>
        <v>0.54981084489281296</v>
      </c>
      <c r="Q23" s="2">
        <f t="shared" si="24"/>
        <v>1.2734901851427263</v>
      </c>
      <c r="R23" s="2">
        <f t="shared" si="25"/>
        <v>3.3094604852693242E-2</v>
      </c>
      <c r="S23" s="2">
        <f t="shared" si="26"/>
        <v>38.480295831031491</v>
      </c>
      <c r="T23" s="5">
        <f t="shared" si="27"/>
        <v>3.9262179311100265E-2</v>
      </c>
      <c r="U23" s="5">
        <f t="shared" si="28"/>
        <v>2844.9</v>
      </c>
      <c r="V23" s="2">
        <f t="shared" si="29"/>
        <v>2546.9803702854524</v>
      </c>
      <c r="W23" s="2">
        <f t="shared" si="30"/>
        <v>9406.308059598161</v>
      </c>
      <c r="X23" s="2">
        <f t="shared" si="31"/>
        <v>1.1169697392214917</v>
      </c>
      <c r="Y23" s="12">
        <f t="shared" si="32"/>
        <v>0.104720598163221</v>
      </c>
      <c r="Z23" s="2">
        <f t="shared" si="33"/>
        <v>3.3063756404788078</v>
      </c>
      <c r="AA23" s="2">
        <f t="shared" si="34"/>
        <v>3.6931215369139068</v>
      </c>
      <c r="AB23" s="2">
        <f t="shared" si="35"/>
        <v>1.0223704337230302</v>
      </c>
      <c r="AC23" s="2">
        <f t="shared" si="36"/>
        <v>2.121563142713788</v>
      </c>
      <c r="AD23" s="2">
        <f t="shared" si="37"/>
        <v>0.95671688098369134</v>
      </c>
      <c r="AE23" s="2">
        <f t="shared" si="38"/>
        <v>0.22217136134603091</v>
      </c>
    </row>
    <row r="24" spans="1:31" x14ac:dyDescent="0.3">
      <c r="A24" s="1" t="s">
        <v>31</v>
      </c>
      <c r="B24" s="1" t="s">
        <v>33</v>
      </c>
      <c r="C24" s="1">
        <v>0.12549645254563199</v>
      </c>
      <c r="D24" s="1">
        <v>0.49558638083228201</v>
      </c>
      <c r="F24" s="2">
        <v>9.81</v>
      </c>
      <c r="G24" s="2">
        <v>5800</v>
      </c>
      <c r="H24" s="18">
        <f t="shared" si="39"/>
        <v>0.05</v>
      </c>
      <c r="I24" s="2">
        <f t="shared" si="1"/>
        <v>2.5000000000000001E-2</v>
      </c>
      <c r="J24" s="2">
        <v>100</v>
      </c>
      <c r="K24" s="8">
        <v>1</v>
      </c>
      <c r="L24" s="2">
        <f t="shared" si="21"/>
        <v>357.02485784706846</v>
      </c>
      <c r="M24" s="4">
        <f t="shared" si="2"/>
        <v>1</v>
      </c>
      <c r="N24" s="2" t="s">
        <v>29</v>
      </c>
      <c r="O24" s="2" t="e">
        <f t="shared" si="22"/>
        <v>#VALUE!</v>
      </c>
      <c r="P24" s="2">
        <f t="shared" si="23"/>
        <v>0.50441361916771799</v>
      </c>
      <c r="Q24" s="2">
        <f t="shared" si="24"/>
        <v>1.2439375710764657</v>
      </c>
      <c r="R24" s="2">
        <f t="shared" si="25"/>
        <v>4.4746193084604785E-2</v>
      </c>
      <c r="S24" s="2">
        <f t="shared" si="26"/>
        <v>27.799852575714436</v>
      </c>
      <c r="T24" s="5">
        <f t="shared" si="27"/>
        <v>4.0194943188934726E-2</v>
      </c>
      <c r="U24" s="5">
        <f t="shared" si="28"/>
        <v>2844.9</v>
      </c>
      <c r="V24" s="2">
        <f t="shared" si="29"/>
        <v>2487.8751421529314</v>
      </c>
      <c r="W24" s="2">
        <f t="shared" si="30"/>
        <v>8974.8079482665798</v>
      </c>
      <c r="X24" s="2">
        <f t="shared" si="31"/>
        <v>1.1435059387820043</v>
      </c>
      <c r="Y24" s="12">
        <f t="shared" si="32"/>
        <v>0.12549645254563199</v>
      </c>
      <c r="Z24" s="2">
        <f t="shared" si="33"/>
        <v>3.1547006742826036</v>
      </c>
      <c r="AA24" s="2">
        <f t="shared" si="34"/>
        <v>3.6074189561217507</v>
      </c>
      <c r="AB24" s="2">
        <f t="shared" si="35"/>
        <v>1.0271826729692781</v>
      </c>
      <c r="AC24" s="2">
        <f t="shared" si="36"/>
        <v>1.9973592420691924</v>
      </c>
      <c r="AD24" s="2">
        <f t="shared" si="37"/>
        <v>0.94777364987389978</v>
      </c>
      <c r="AE24" s="2">
        <f t="shared" si="38"/>
        <v>0.25066149933891596</v>
      </c>
    </row>
    <row r="25" spans="1:31" x14ac:dyDescent="0.3">
      <c r="A25" s="1" t="s">
        <v>31</v>
      </c>
      <c r="B25" s="1" t="s">
        <v>33</v>
      </c>
      <c r="C25" s="1">
        <v>0.15271377074655701</v>
      </c>
      <c r="D25" s="1">
        <v>0.45901639344262202</v>
      </c>
      <c r="F25" s="2">
        <v>9.81</v>
      </c>
      <c r="G25" s="2">
        <v>5800</v>
      </c>
      <c r="H25" s="18">
        <f t="shared" si="39"/>
        <v>0.05</v>
      </c>
      <c r="I25" s="2">
        <f t="shared" si="1"/>
        <v>2.5000000000000001E-2</v>
      </c>
      <c r="J25" s="2">
        <v>100</v>
      </c>
      <c r="K25" s="8">
        <v>1</v>
      </c>
      <c r="L25" s="2">
        <f t="shared" si="21"/>
        <v>434.45540639688005</v>
      </c>
      <c r="M25" s="4">
        <f t="shared" si="2"/>
        <v>1</v>
      </c>
      <c r="N25" s="2" t="s">
        <v>29</v>
      </c>
      <c r="O25" s="2" t="e">
        <f t="shared" si="22"/>
        <v>#VALUE!</v>
      </c>
      <c r="P25" s="2">
        <f t="shared" si="23"/>
        <v>0.54098360655737798</v>
      </c>
      <c r="Q25" s="2">
        <f t="shared" si="24"/>
        <v>1.2052222968015602</v>
      </c>
      <c r="R25" s="2">
        <f t="shared" si="25"/>
        <v>6.2063178077698393E-2</v>
      </c>
      <c r="S25" s="2">
        <f t="shared" si="26"/>
        <v>19.419281031543587</v>
      </c>
      <c r="T25" s="5">
        <f t="shared" si="27"/>
        <v>4.1486122628739006E-2</v>
      </c>
      <c r="U25" s="5">
        <f t="shared" si="28"/>
        <v>2844.9</v>
      </c>
      <c r="V25" s="2">
        <f t="shared" si="29"/>
        <v>2410.4445936031207</v>
      </c>
      <c r="W25" s="2">
        <f t="shared" si="30"/>
        <v>8424.8525513042441</v>
      </c>
      <c r="X25" s="2">
        <f t="shared" si="31"/>
        <v>1.1802387026649959</v>
      </c>
      <c r="Y25" s="12">
        <f t="shared" si="32"/>
        <v>0.15271377074655701</v>
      </c>
      <c r="Z25" s="2">
        <f t="shared" si="33"/>
        <v>2.9613879402805878</v>
      </c>
      <c r="AA25" s="2">
        <f t="shared" si="34"/>
        <v>3.4951446607245247</v>
      </c>
      <c r="AB25" s="2">
        <f t="shared" si="35"/>
        <v>1.0336987007334013</v>
      </c>
      <c r="AC25" s="2">
        <f t="shared" si="36"/>
        <v>1.8708570281591241</v>
      </c>
      <c r="AD25" s="2">
        <f t="shared" si="37"/>
        <v>0.93586252961029848</v>
      </c>
      <c r="AE25" s="2">
        <f t="shared" si="38"/>
        <v>0.28570563129787746</v>
      </c>
    </row>
    <row r="26" spans="1:31" x14ac:dyDescent="0.3">
      <c r="A26" s="1" t="s">
        <v>31</v>
      </c>
      <c r="B26" s="1" t="s">
        <v>33</v>
      </c>
      <c r="C26" s="1">
        <v>0.208539365916415</v>
      </c>
      <c r="D26" s="1">
        <v>0.303909205548549</v>
      </c>
      <c r="F26" s="2">
        <v>9.81</v>
      </c>
      <c r="G26" s="2">
        <v>5800</v>
      </c>
      <c r="H26" s="18">
        <f t="shared" si="39"/>
        <v>0.05</v>
      </c>
      <c r="I26" s="2">
        <f t="shared" si="1"/>
        <v>2.5000000000000001E-2</v>
      </c>
      <c r="J26" s="2">
        <v>100</v>
      </c>
      <c r="K26" s="8">
        <v>1</v>
      </c>
      <c r="L26" s="2">
        <f t="shared" si="21"/>
        <v>593.27364209560903</v>
      </c>
      <c r="M26" s="4">
        <f t="shared" si="2"/>
        <v>1</v>
      </c>
      <c r="N26" s="2" t="s">
        <v>29</v>
      </c>
      <c r="O26" s="2" t="e">
        <f t="shared" si="22"/>
        <v>#VALUE!</v>
      </c>
      <c r="P26" s="2">
        <f t="shared" si="23"/>
        <v>0.69609079445145094</v>
      </c>
      <c r="Q26" s="2">
        <f t="shared" si="24"/>
        <v>1.1258131789521957</v>
      </c>
      <c r="R26" s="2">
        <f t="shared" si="25"/>
        <v>0.10431587952508513</v>
      </c>
      <c r="S26" s="2">
        <f t="shared" si="26"/>
        <v>10.792347091139353</v>
      </c>
      <c r="T26" s="5">
        <f t="shared" si="27"/>
        <v>4.4412342060638738E-2</v>
      </c>
      <c r="U26" s="5">
        <f t="shared" si="28"/>
        <v>2844.9</v>
      </c>
      <c r="V26" s="2">
        <f t="shared" si="29"/>
        <v>2251.6263579043912</v>
      </c>
      <c r="W26" s="2">
        <f t="shared" si="30"/>
        <v>7351.2408206342016</v>
      </c>
      <c r="X26" s="2">
        <f t="shared" si="31"/>
        <v>1.2634867192831114</v>
      </c>
      <c r="Y26" s="12">
        <f t="shared" si="32"/>
        <v>0.208539365916415</v>
      </c>
      <c r="Z26" s="2">
        <f t="shared" si="33"/>
        <v>2.584006756172168</v>
      </c>
      <c r="AA26" s="2">
        <f t="shared" si="34"/>
        <v>3.2648582189613675</v>
      </c>
      <c r="AB26" s="2">
        <f t="shared" si="35"/>
        <v>1.0478862368131214</v>
      </c>
      <c r="AC26" s="2">
        <f t="shared" si="36"/>
        <v>1.6863096181926214</v>
      </c>
      <c r="AD26" s="2">
        <f t="shared" si="37"/>
        <v>0.91069243185368287</v>
      </c>
      <c r="AE26" s="2">
        <f t="shared" si="38"/>
        <v>0.35166193851664124</v>
      </c>
    </row>
    <row r="27" spans="1:31" x14ac:dyDescent="0.3">
      <c r="A27" s="1" t="s">
        <v>31</v>
      </c>
      <c r="B27" s="1" t="s">
        <v>33</v>
      </c>
      <c r="C27" s="1">
        <v>0.211106652909931</v>
      </c>
      <c r="D27" s="1">
        <v>0.33165195460277402</v>
      </c>
      <c r="F27" s="2">
        <v>9.81</v>
      </c>
      <c r="G27" s="2">
        <v>5800</v>
      </c>
      <c r="H27" s="18">
        <f t="shared" si="39"/>
        <v>0.05</v>
      </c>
      <c r="I27" s="2">
        <f t="shared" si="1"/>
        <v>2.5000000000000001E-2</v>
      </c>
      <c r="J27" s="2">
        <v>100</v>
      </c>
      <c r="K27" s="8">
        <v>1</v>
      </c>
      <c r="L27" s="2">
        <f t="shared" si="21"/>
        <v>600.57731686346267</v>
      </c>
      <c r="M27" s="4">
        <f t="shared" si="2"/>
        <v>1</v>
      </c>
      <c r="N27" s="2" t="s">
        <v>29</v>
      </c>
      <c r="O27" s="2" t="e">
        <f t="shared" si="22"/>
        <v>#VALUE!</v>
      </c>
      <c r="P27" s="2">
        <f t="shared" si="23"/>
        <v>0.66834804539722592</v>
      </c>
      <c r="Q27" s="2">
        <f t="shared" si="24"/>
        <v>1.1221613415682687</v>
      </c>
      <c r="R27" s="2">
        <f t="shared" si="25"/>
        <v>0.10646500440655438</v>
      </c>
      <c r="S27" s="2">
        <f t="shared" si="26"/>
        <v>10.540189687900716</v>
      </c>
      <c r="T27" s="5">
        <f t="shared" si="27"/>
        <v>4.4556872659793155E-2</v>
      </c>
      <c r="U27" s="5">
        <f t="shared" si="28"/>
        <v>2844.9</v>
      </c>
      <c r="V27" s="2">
        <f t="shared" si="29"/>
        <v>2244.3226831365373</v>
      </c>
      <c r="W27" s="2">
        <f t="shared" si="30"/>
        <v>7303.6272437597208</v>
      </c>
      <c r="X27" s="2">
        <f t="shared" si="31"/>
        <v>1.2675984702984555</v>
      </c>
      <c r="Y27" s="12">
        <f t="shared" si="32"/>
        <v>0.21110665290993097</v>
      </c>
      <c r="Z27" s="2">
        <f t="shared" si="33"/>
        <v>2.5672702885021339</v>
      </c>
      <c r="AA27" s="2">
        <f t="shared" si="34"/>
        <v>3.2542678905479794</v>
      </c>
      <c r="AB27" s="2">
        <f t="shared" si="35"/>
        <v>1.0485673756846863</v>
      </c>
      <c r="AC27" s="2">
        <f t="shared" si="36"/>
        <v>1.6794459315910681</v>
      </c>
      <c r="AD27" s="2">
        <f t="shared" si="37"/>
        <v>0.90950966275974332</v>
      </c>
      <c r="AE27" s="2">
        <f t="shared" si="38"/>
        <v>0.3545422093613913</v>
      </c>
    </row>
    <row r="28" spans="1:31" x14ac:dyDescent="0.3">
      <c r="A28" s="1" t="s">
        <v>31</v>
      </c>
      <c r="B28" s="1" t="s">
        <v>33</v>
      </c>
      <c r="C28" s="1">
        <v>0.235798718585603</v>
      </c>
      <c r="D28" s="1">
        <v>0.29508196721311403</v>
      </c>
      <c r="F28" s="2">
        <v>9.81</v>
      </c>
      <c r="G28" s="2">
        <v>5800</v>
      </c>
      <c r="H28" s="18">
        <f t="shared" si="39"/>
        <v>0.05</v>
      </c>
      <c r="I28" s="2">
        <f t="shared" si="1"/>
        <v>2.5000000000000001E-2</v>
      </c>
      <c r="J28" s="2">
        <v>100</v>
      </c>
      <c r="K28" s="8">
        <v>1</v>
      </c>
      <c r="L28" s="2">
        <f t="shared" si="21"/>
        <v>670.82377450418198</v>
      </c>
      <c r="M28" s="4">
        <f t="shared" si="2"/>
        <v>1</v>
      </c>
      <c r="N28" s="2" t="s">
        <v>29</v>
      </c>
      <c r="O28" s="2" t="e">
        <f t="shared" si="22"/>
        <v>#VALUE!</v>
      </c>
      <c r="P28" s="2">
        <f t="shared" si="23"/>
        <v>0.70491803278688603</v>
      </c>
      <c r="Q28" s="2">
        <f t="shared" si="24"/>
        <v>1.0870381127479092</v>
      </c>
      <c r="R28" s="2">
        <f t="shared" si="25"/>
        <v>0.12801850288939948</v>
      </c>
      <c r="S28" s="2">
        <f t="shared" si="26"/>
        <v>8.4912578120605477</v>
      </c>
      <c r="T28" s="5">
        <f t="shared" si="27"/>
        <v>4.5996547327678945E-2</v>
      </c>
      <c r="U28" s="5">
        <f t="shared" si="28"/>
        <v>2844.9</v>
      </c>
      <c r="V28" s="2">
        <f t="shared" si="29"/>
        <v>2174.0762254958181</v>
      </c>
      <c r="W28" s="2">
        <f t="shared" si="30"/>
        <v>6853.5807796859099</v>
      </c>
      <c r="X28" s="2">
        <f t="shared" si="31"/>
        <v>1.3085557749251384</v>
      </c>
      <c r="Y28" s="12">
        <f t="shared" si="32"/>
        <v>0.235798718585603</v>
      </c>
      <c r="Z28" s="2">
        <f t="shared" si="33"/>
        <v>2.4090761642538965</v>
      </c>
      <c r="AA28" s="2">
        <f t="shared" si="34"/>
        <v>3.1524105269689371</v>
      </c>
      <c r="AB28" s="2">
        <f t="shared" si="35"/>
        <v>1.0552575004826643</v>
      </c>
      <c r="AC28" s="2">
        <f t="shared" si="36"/>
        <v>1.6186496329624513</v>
      </c>
      <c r="AD28" s="2">
        <f t="shared" si="37"/>
        <v>0.89801399437369889</v>
      </c>
      <c r="AE28" s="2">
        <f t="shared" si="38"/>
        <v>0.3816755092916026</v>
      </c>
    </row>
    <row r="29" spans="1:31" x14ac:dyDescent="0.3">
      <c r="A29" s="1" t="s">
        <v>31</v>
      </c>
      <c r="B29" s="1" t="s">
        <v>33</v>
      </c>
      <c r="C29" s="1">
        <v>0.236793534334517</v>
      </c>
      <c r="D29" s="1">
        <v>0.28499369482976</v>
      </c>
      <c r="F29" s="2">
        <v>9.81</v>
      </c>
      <c r="G29" s="2">
        <v>5800</v>
      </c>
      <c r="H29" s="18">
        <f t="shared" si="39"/>
        <v>0.05</v>
      </c>
      <c r="I29" s="2">
        <f t="shared" si="1"/>
        <v>2.5000000000000001E-2</v>
      </c>
      <c r="J29" s="2">
        <v>100</v>
      </c>
      <c r="K29" s="8">
        <v>1</v>
      </c>
      <c r="L29" s="2">
        <f t="shared" si="21"/>
        <v>673.65392582826746</v>
      </c>
      <c r="M29" s="4">
        <f t="shared" si="2"/>
        <v>1</v>
      </c>
      <c r="N29" s="2" t="s">
        <v>29</v>
      </c>
      <c r="O29" s="2" t="e">
        <f t="shared" si="22"/>
        <v>#VALUE!</v>
      </c>
      <c r="P29" s="2">
        <f t="shared" si="23"/>
        <v>0.71500630517024</v>
      </c>
      <c r="Q29" s="2">
        <f t="shared" si="24"/>
        <v>1.0856230370858664</v>
      </c>
      <c r="R29" s="2">
        <f t="shared" si="25"/>
        <v>0.1289199344129813</v>
      </c>
      <c r="S29" s="2">
        <f t="shared" si="26"/>
        <v>8.4209090085958973</v>
      </c>
      <c r="T29" s="5">
        <f t="shared" si="27"/>
        <v>4.6056502387988009E-2</v>
      </c>
      <c r="U29" s="5">
        <f t="shared" si="28"/>
        <v>2844.9</v>
      </c>
      <c r="V29" s="2">
        <f t="shared" si="29"/>
        <v>2171.2460741717327</v>
      </c>
      <c r="W29" s="2">
        <f t="shared" si="30"/>
        <v>6835.7487961789338</v>
      </c>
      <c r="X29" s="2">
        <f t="shared" si="31"/>
        <v>1.3102614364358709</v>
      </c>
      <c r="Y29" s="12">
        <f t="shared" si="32"/>
        <v>0.236793534334517</v>
      </c>
      <c r="Z29" s="2">
        <f t="shared" si="33"/>
        <v>2.4028081114200619</v>
      </c>
      <c r="AA29" s="2">
        <f t="shared" si="34"/>
        <v>3.1483068075490124</v>
      </c>
      <c r="AB29" s="2">
        <f t="shared" si="35"/>
        <v>1.0555324561885793</v>
      </c>
      <c r="AC29" s="2">
        <f t="shared" si="36"/>
        <v>1.6163796970708117</v>
      </c>
      <c r="AD29" s="2">
        <f t="shared" si="37"/>
        <v>0.89754620788174011</v>
      </c>
      <c r="AE29" s="2">
        <f t="shared" si="38"/>
        <v>0.38274826129595352</v>
      </c>
    </row>
    <row r="30" spans="1:31" x14ac:dyDescent="0.3">
      <c r="A30" s="1" t="s">
        <v>31</v>
      </c>
      <c r="B30" s="1" t="s">
        <v>33</v>
      </c>
      <c r="C30" s="1">
        <v>0.25739742952857703</v>
      </c>
      <c r="D30" s="1">
        <v>0.21689785624211799</v>
      </c>
      <c r="F30" s="2">
        <v>9.81</v>
      </c>
      <c r="G30" s="2">
        <v>5800</v>
      </c>
      <c r="H30" s="18">
        <f t="shared" si="39"/>
        <v>0.05</v>
      </c>
      <c r="I30" s="2">
        <f t="shared" si="1"/>
        <v>2.5000000000000001E-2</v>
      </c>
      <c r="J30" s="2">
        <v>100</v>
      </c>
      <c r="K30" s="8">
        <v>1</v>
      </c>
      <c r="L30" s="2">
        <f t="shared" si="21"/>
        <v>732.26994726584883</v>
      </c>
      <c r="M30" s="4">
        <f t="shared" si="2"/>
        <v>1</v>
      </c>
      <c r="N30" s="2" t="s">
        <v>29</v>
      </c>
      <c r="O30" s="2" t="e">
        <f t="shared" si="22"/>
        <v>#VALUE!</v>
      </c>
      <c r="P30" s="2">
        <f t="shared" si="23"/>
        <v>0.78310214375788201</v>
      </c>
      <c r="Q30" s="2">
        <f t="shared" si="24"/>
        <v>1.0563150263670757</v>
      </c>
      <c r="R30" s="2">
        <f t="shared" si="25"/>
        <v>0.14815308032374169</v>
      </c>
      <c r="S30" s="2">
        <f t="shared" si="26"/>
        <v>7.129889058390372</v>
      </c>
      <c r="T30" s="5">
        <f t="shared" si="27"/>
        <v>4.7334364040964333E-2</v>
      </c>
      <c r="U30" s="5">
        <f t="shared" si="28"/>
        <v>2844.9</v>
      </c>
      <c r="V30" s="2">
        <f t="shared" si="29"/>
        <v>2112.6300527341514</v>
      </c>
      <c r="W30" s="2">
        <f t="shared" si="30"/>
        <v>6471.6483225874808</v>
      </c>
      <c r="X30" s="2">
        <f t="shared" si="31"/>
        <v>1.3466153226013944</v>
      </c>
      <c r="Y30" s="12">
        <f t="shared" si="32"/>
        <v>0.25739742952857703</v>
      </c>
      <c r="Z30" s="2">
        <f t="shared" si="33"/>
        <v>2.2748245360425607</v>
      </c>
      <c r="AA30" s="2">
        <f t="shared" si="34"/>
        <v>3.0633135764645201</v>
      </c>
      <c r="AB30" s="2">
        <f t="shared" si="35"/>
        <v>1.0613257722574811</v>
      </c>
      <c r="AC30" s="2">
        <f t="shared" si="36"/>
        <v>1.5720460540601642</v>
      </c>
      <c r="AD30" s="2">
        <f t="shared" si="37"/>
        <v>0.8877743218780173</v>
      </c>
      <c r="AE30" s="2">
        <f t="shared" si="38"/>
        <v>0.40464061341562874</v>
      </c>
    </row>
    <row r="31" spans="1:31" x14ac:dyDescent="0.3">
      <c r="A31" s="1" t="s">
        <v>31</v>
      </c>
      <c r="B31" s="1" t="s">
        <v>33</v>
      </c>
      <c r="C31" s="1">
        <v>0.288081317589514</v>
      </c>
      <c r="D31" s="1">
        <v>0.134930643127364</v>
      </c>
      <c r="F31" s="2">
        <v>9.81</v>
      </c>
      <c r="G31" s="2">
        <v>5800</v>
      </c>
      <c r="H31" s="18">
        <f t="shared" si="39"/>
        <v>0.05</v>
      </c>
      <c r="I31" s="2">
        <f t="shared" si="1"/>
        <v>2.5000000000000001E-2</v>
      </c>
      <c r="J31" s="2">
        <v>100</v>
      </c>
      <c r="K31" s="8">
        <v>1</v>
      </c>
      <c r="L31" s="2">
        <f t="shared" si="21"/>
        <v>819.56254041040836</v>
      </c>
      <c r="M31" s="4">
        <f t="shared" si="2"/>
        <v>1</v>
      </c>
      <c r="N31" s="2" t="s">
        <v>29</v>
      </c>
      <c r="O31" s="2" t="e">
        <f t="shared" si="22"/>
        <v>#VALUE!</v>
      </c>
      <c r="P31" s="2">
        <f t="shared" si="23"/>
        <v>0.86506935687263598</v>
      </c>
      <c r="Q31" s="2">
        <f t="shared" si="24"/>
        <v>1.0126687297947958</v>
      </c>
      <c r="R31" s="2">
        <f t="shared" si="25"/>
        <v>0.17874291410178358</v>
      </c>
      <c r="S31" s="2">
        <f t="shared" si="26"/>
        <v>5.6655041956971814</v>
      </c>
      <c r="T31" s="5">
        <f t="shared" si="27"/>
        <v>4.9374487953362446E-2</v>
      </c>
      <c r="U31" s="5">
        <f t="shared" si="28"/>
        <v>2844.9</v>
      </c>
      <c r="V31" s="2">
        <f t="shared" si="29"/>
        <v>2025.3374595895916</v>
      </c>
      <c r="W31" s="2">
        <f t="shared" si="30"/>
        <v>5947.8881465643908</v>
      </c>
      <c r="X31" s="2">
        <f t="shared" si="31"/>
        <v>1.4046548077852083</v>
      </c>
      <c r="Y31" s="12">
        <f t="shared" si="32"/>
        <v>0.288081317589514</v>
      </c>
      <c r="Z31" s="2">
        <f t="shared" si="33"/>
        <v>2.0907195847180535</v>
      </c>
      <c r="AA31" s="2">
        <f t="shared" si="34"/>
        <v>2.9367393164049083</v>
      </c>
      <c r="AB31" s="2">
        <f t="shared" si="35"/>
        <v>1.0703206931981377</v>
      </c>
      <c r="AC31" s="2">
        <f t="shared" si="36"/>
        <v>1.5141246683533485</v>
      </c>
      <c r="AD31" s="2">
        <f t="shared" si="37"/>
        <v>0.87291540120351652</v>
      </c>
      <c r="AE31" s="2">
        <f t="shared" si="38"/>
        <v>0.43619102945401855</v>
      </c>
    </row>
    <row r="32" spans="1:31" x14ac:dyDescent="0.3">
      <c r="A32" s="1" t="s">
        <v>31</v>
      </c>
      <c r="B32" s="1" t="s">
        <v>33</v>
      </c>
      <c r="C32" s="1">
        <v>0.30423146980524002</v>
      </c>
      <c r="D32" s="1">
        <v>0.12736443883984799</v>
      </c>
      <c r="F32" s="2">
        <v>9.81</v>
      </c>
      <c r="G32" s="2">
        <v>5800</v>
      </c>
      <c r="H32" s="18">
        <f t="shared" si="39"/>
        <v>0.05</v>
      </c>
      <c r="I32" s="2">
        <f t="shared" si="1"/>
        <v>2.5000000000000001E-2</v>
      </c>
      <c r="J32" s="2">
        <v>100</v>
      </c>
      <c r="K32" s="8">
        <v>1</v>
      </c>
      <c r="L32" s="2">
        <f t="shared" si="21"/>
        <v>865.50810844892737</v>
      </c>
      <c r="M32" s="4">
        <f t="shared" si="2"/>
        <v>1</v>
      </c>
      <c r="N32" s="2" t="s">
        <v>29</v>
      </c>
      <c r="O32" s="2" t="e">
        <f t="shared" si="22"/>
        <v>#VALUE!</v>
      </c>
      <c r="P32" s="2">
        <f t="shared" si="23"/>
        <v>0.87263556116015195</v>
      </c>
      <c r="Q32" s="2">
        <f t="shared" si="24"/>
        <v>0.98969594577553632</v>
      </c>
      <c r="R32" s="2">
        <f t="shared" si="25"/>
        <v>0.19575396567574191</v>
      </c>
      <c r="S32" s="2">
        <f t="shared" si="26"/>
        <v>5.0558155609216389</v>
      </c>
      <c r="T32" s="5">
        <f t="shared" si="27"/>
        <v>5.0520566658297725E-2</v>
      </c>
      <c r="U32" s="5">
        <f t="shared" si="28"/>
        <v>2844.9</v>
      </c>
      <c r="V32" s="2">
        <f t="shared" si="29"/>
        <v>1979.3918915510726</v>
      </c>
      <c r="W32" s="2">
        <f t="shared" si="30"/>
        <v>5681.0887774902931</v>
      </c>
      <c r="X32" s="2">
        <f t="shared" si="31"/>
        <v>1.4372596008619123</v>
      </c>
      <c r="Y32" s="12">
        <f t="shared" si="32"/>
        <v>0.30423146980524002</v>
      </c>
      <c r="Z32" s="2">
        <f t="shared" si="33"/>
        <v>1.9969379512426775</v>
      </c>
      <c r="AA32" s="2">
        <f t="shared" si="34"/>
        <v>2.8701182427490552</v>
      </c>
      <c r="AB32" s="2">
        <f t="shared" si="35"/>
        <v>1.0752440392848392</v>
      </c>
      <c r="AC32" s="2">
        <f t="shared" si="36"/>
        <v>1.4868436011228772</v>
      </c>
      <c r="AD32" s="2">
        <f t="shared" si="37"/>
        <v>0.8649398619637606</v>
      </c>
      <c r="AE32" s="2">
        <f t="shared" si="38"/>
        <v>0.45234461414012894</v>
      </c>
    </row>
    <row r="33" spans="1:31" x14ac:dyDescent="0.3">
      <c r="A33" s="1" t="s">
        <v>31</v>
      </c>
      <c r="B33" s="1" t="s">
        <v>33</v>
      </c>
      <c r="C33" s="1">
        <v>0.31683098322442499</v>
      </c>
      <c r="D33" s="1">
        <v>0.10970996216897801</v>
      </c>
      <c r="F33" s="2">
        <v>9.81</v>
      </c>
      <c r="G33" s="2">
        <v>5800</v>
      </c>
      <c r="H33" s="18">
        <f t="shared" si="39"/>
        <v>0.05</v>
      </c>
      <c r="I33" s="2">
        <f t="shared" si="1"/>
        <v>2.5000000000000001E-2</v>
      </c>
      <c r="J33" s="2">
        <v>100</v>
      </c>
      <c r="K33" s="8">
        <v>1</v>
      </c>
      <c r="L33" s="2">
        <f t="shared" si="21"/>
        <v>901.35246417516669</v>
      </c>
      <c r="M33" s="4">
        <f t="shared" si="2"/>
        <v>1</v>
      </c>
      <c r="N33" s="2" t="s">
        <v>29</v>
      </c>
      <c r="O33" s="2" t="e">
        <f t="shared" si="22"/>
        <v>#VALUE!</v>
      </c>
      <c r="P33" s="2">
        <f t="shared" si="23"/>
        <v>0.89029003783102201</v>
      </c>
      <c r="Q33" s="2">
        <f t="shared" si="24"/>
        <v>0.97177376791241665</v>
      </c>
      <c r="R33" s="2">
        <f t="shared" si="25"/>
        <v>0.20945131183169724</v>
      </c>
      <c r="S33" s="2">
        <f t="shared" si="26"/>
        <v>4.639616526695602</v>
      </c>
      <c r="T33" s="5">
        <f t="shared" si="27"/>
        <v>5.1452304693726164E-2</v>
      </c>
      <c r="U33" s="5">
        <f t="shared" si="28"/>
        <v>2844.9</v>
      </c>
      <c r="V33" s="2">
        <f t="shared" si="29"/>
        <v>1943.5475358248332</v>
      </c>
      <c r="W33" s="2">
        <f t="shared" si="30"/>
        <v>5477.1966848156335</v>
      </c>
      <c r="X33" s="2">
        <f t="shared" si="31"/>
        <v>1.4637666162318159</v>
      </c>
      <c r="Y33" s="12">
        <f t="shared" si="32"/>
        <v>0.31683098322442499</v>
      </c>
      <c r="Z33" s="2">
        <f t="shared" si="33"/>
        <v>1.9252686157037622</v>
      </c>
      <c r="AA33" s="2">
        <f t="shared" si="34"/>
        <v>2.8181439269460085</v>
      </c>
      <c r="AB33" s="2">
        <f t="shared" si="35"/>
        <v>1.0791811914630969</v>
      </c>
      <c r="AC33" s="2">
        <f t="shared" si="36"/>
        <v>1.4668671573114012</v>
      </c>
      <c r="AD33" s="2">
        <f t="shared" si="37"/>
        <v>0.85864029342591264</v>
      </c>
      <c r="AE33" s="2">
        <f t="shared" si="38"/>
        <v>0.4647489637105886</v>
      </c>
    </row>
    <row r="34" spans="1:31" x14ac:dyDescent="0.3">
      <c r="A34" s="1" t="s">
        <v>31</v>
      </c>
      <c r="B34" s="1" t="s">
        <v>33</v>
      </c>
      <c r="C34" s="1">
        <v>0.35570458685212702</v>
      </c>
      <c r="D34" s="1">
        <v>9.9621689785624107E-2</v>
      </c>
      <c r="F34" s="2">
        <v>9.81</v>
      </c>
      <c r="G34" s="2">
        <v>5800</v>
      </c>
      <c r="H34" s="18">
        <f t="shared" si="39"/>
        <v>0.05</v>
      </c>
      <c r="I34" s="2">
        <f t="shared" si="1"/>
        <v>2.5000000000000001E-2</v>
      </c>
      <c r="J34" s="2">
        <v>100</v>
      </c>
      <c r="K34" s="8">
        <v>1</v>
      </c>
      <c r="L34" s="2">
        <f t="shared" si="21"/>
        <v>1011.9439791356162</v>
      </c>
      <c r="M34" s="4">
        <f t="shared" si="2"/>
        <v>1</v>
      </c>
      <c r="N34" s="2" t="s">
        <v>29</v>
      </c>
      <c r="O34" s="2" t="e">
        <f t="shared" si="22"/>
        <v>#VALUE!</v>
      </c>
      <c r="P34" s="2">
        <f t="shared" si="23"/>
        <v>0.90037831021437587</v>
      </c>
      <c r="Q34" s="2">
        <f t="shared" si="24"/>
        <v>0.91647801043219201</v>
      </c>
      <c r="R34" s="2">
        <f t="shared" si="25"/>
        <v>0.2540111527750808</v>
      </c>
      <c r="S34" s="2">
        <f t="shared" si="26"/>
        <v>3.6080227203397861</v>
      </c>
      <c r="T34" s="5">
        <f t="shared" si="27"/>
        <v>5.4556682681803831E-2</v>
      </c>
      <c r="U34" s="5">
        <f t="shared" si="28"/>
        <v>2844.9</v>
      </c>
      <c r="V34" s="2">
        <f t="shared" si="29"/>
        <v>1832.9560208643841</v>
      </c>
      <c r="W34" s="2">
        <f t="shared" si="30"/>
        <v>4871.6052729133444</v>
      </c>
      <c r="X34" s="2">
        <f t="shared" si="31"/>
        <v>1.5520830656146372</v>
      </c>
      <c r="Y34" s="12">
        <f t="shared" si="32"/>
        <v>0.35570458685212702</v>
      </c>
      <c r="Z34" s="2">
        <f t="shared" si="33"/>
        <v>1.7123994772798146</v>
      </c>
      <c r="AA34" s="2">
        <f t="shared" si="34"/>
        <v>2.6577862302533566</v>
      </c>
      <c r="AB34" s="2">
        <f t="shared" si="35"/>
        <v>1.0919003170437571</v>
      </c>
      <c r="AC34" s="2">
        <f t="shared" si="36"/>
        <v>1.4113568805417203</v>
      </c>
      <c r="AD34" s="2">
        <f t="shared" si="37"/>
        <v>0.83875286341448696</v>
      </c>
      <c r="AE34" s="2">
        <f t="shared" si="38"/>
        <v>0.50202611609399939</v>
      </c>
    </row>
    <row r="35" spans="1:31" x14ac:dyDescent="0.3">
      <c r="A35" s="1" t="s">
        <v>31</v>
      </c>
      <c r="B35" s="1" t="s">
        <v>33</v>
      </c>
      <c r="C35" s="1">
        <v>0.36731692715299202</v>
      </c>
      <c r="D35" s="1">
        <v>9.7099621689785406E-2</v>
      </c>
      <c r="F35" s="2">
        <v>9.81</v>
      </c>
      <c r="G35" s="2">
        <v>5800</v>
      </c>
      <c r="H35" s="18">
        <f t="shared" si="39"/>
        <v>0.05</v>
      </c>
      <c r="I35" s="2">
        <f t="shared" si="1"/>
        <v>2.5000000000000001E-2</v>
      </c>
      <c r="J35" s="2">
        <v>100</v>
      </c>
      <c r="K35" s="8">
        <v>1</v>
      </c>
      <c r="L35" s="2">
        <f t="shared" si="21"/>
        <v>1044.9799260575471</v>
      </c>
      <c r="M35" s="4">
        <f t="shared" si="2"/>
        <v>1</v>
      </c>
      <c r="N35" s="2" t="s">
        <v>29</v>
      </c>
      <c r="O35" s="2" t="e">
        <f t="shared" si="22"/>
        <v>#VALUE!</v>
      </c>
      <c r="P35" s="2">
        <f t="shared" si="23"/>
        <v>0.90290037831021464</v>
      </c>
      <c r="Q35" s="2">
        <f t="shared" si="24"/>
        <v>0.89996003697122662</v>
      </c>
      <c r="R35" s="2">
        <f t="shared" si="25"/>
        <v>0.26798176743430385</v>
      </c>
      <c r="S35" s="2">
        <f t="shared" si="26"/>
        <v>3.358288310386091</v>
      </c>
      <c r="T35" s="5">
        <f t="shared" si="27"/>
        <v>5.5558022518725013E-2</v>
      </c>
      <c r="U35" s="5">
        <f t="shared" si="28"/>
        <v>2844.9</v>
      </c>
      <c r="V35" s="2">
        <f t="shared" si="29"/>
        <v>1799.920073942453</v>
      </c>
      <c r="W35" s="2">
        <f t="shared" si="30"/>
        <v>4697.5827952424597</v>
      </c>
      <c r="X35" s="2">
        <f t="shared" si="31"/>
        <v>1.5805701826352081</v>
      </c>
      <c r="Y35" s="12">
        <f t="shared" si="32"/>
        <v>0.36731692715299202</v>
      </c>
      <c r="Z35" s="2">
        <f t="shared" si="33"/>
        <v>1.6512294967283419</v>
      </c>
      <c r="AA35" s="2">
        <f t="shared" si="34"/>
        <v>2.6098841072165579</v>
      </c>
      <c r="AB35" s="2">
        <f t="shared" si="35"/>
        <v>1.0958793840329557</v>
      </c>
      <c r="AC35" s="2">
        <f t="shared" si="36"/>
        <v>1.3963244815237401</v>
      </c>
      <c r="AD35" s="2">
        <f t="shared" si="37"/>
        <v>0.83267300674373779</v>
      </c>
      <c r="AE35" s="2">
        <f t="shared" si="38"/>
        <v>0.5128936178617951</v>
      </c>
    </row>
    <row r="36" spans="1:31" x14ac:dyDescent="0.3">
      <c r="A36" s="1" t="s">
        <v>31</v>
      </c>
      <c r="B36" s="1" t="s">
        <v>33</v>
      </c>
      <c r="C36" s="1">
        <v>0.32352465385252199</v>
      </c>
      <c r="D36" s="1">
        <v>0.19419924337957101</v>
      </c>
      <c r="F36" s="2">
        <v>9.81</v>
      </c>
      <c r="G36" s="2">
        <v>5800</v>
      </c>
      <c r="H36" s="18">
        <f t="shared" si="39"/>
        <v>0.05</v>
      </c>
      <c r="I36" s="2">
        <f t="shared" si="1"/>
        <v>2.5000000000000001E-2</v>
      </c>
      <c r="J36" s="2">
        <v>100</v>
      </c>
      <c r="K36" s="8">
        <v>1</v>
      </c>
      <c r="L36" s="2">
        <f t="shared" si="21"/>
        <v>920.39528774503981</v>
      </c>
      <c r="M36" s="4">
        <f t="shared" si="2"/>
        <v>1</v>
      </c>
      <c r="N36" s="2" t="s">
        <v>29</v>
      </c>
      <c r="O36" s="2" t="e">
        <f t="shared" si="22"/>
        <v>#VALUE!</v>
      </c>
      <c r="P36" s="2">
        <f t="shared" si="23"/>
        <v>0.80580075662042905</v>
      </c>
      <c r="Q36" s="2">
        <f t="shared" si="24"/>
        <v>0.96225235612748028</v>
      </c>
      <c r="R36" s="2">
        <f t="shared" si="25"/>
        <v>0.2168782390443901</v>
      </c>
      <c r="S36" s="2">
        <f t="shared" si="26"/>
        <v>4.4368322076357734</v>
      </c>
      <c r="T36" s="5">
        <f t="shared" si="27"/>
        <v>5.1961421223452896E-2</v>
      </c>
      <c r="U36" s="5">
        <f t="shared" si="28"/>
        <v>2844.9</v>
      </c>
      <c r="V36" s="2">
        <f t="shared" si="29"/>
        <v>1924.5047122549604</v>
      </c>
      <c r="W36" s="2">
        <f t="shared" si="30"/>
        <v>5370.3916618627454</v>
      </c>
      <c r="X36" s="2">
        <f t="shared" si="31"/>
        <v>1.4782504723860113</v>
      </c>
      <c r="Y36" s="12">
        <f t="shared" si="32"/>
        <v>0.32352465385252199</v>
      </c>
      <c r="Z36" s="2">
        <f t="shared" si="33"/>
        <v>1.8877259875084345</v>
      </c>
      <c r="AA36" s="2">
        <f t="shared" si="34"/>
        <v>2.7905318327696929</v>
      </c>
      <c r="AB36" s="2">
        <f t="shared" si="35"/>
        <v>1.0813084710302805</v>
      </c>
      <c r="AC36" s="2">
        <f t="shared" si="36"/>
        <v>1.4566801636595734</v>
      </c>
      <c r="AD36" s="2">
        <f t="shared" si="37"/>
        <v>0.85526517655777923</v>
      </c>
      <c r="AE36" s="2">
        <f t="shared" si="38"/>
        <v>0.47127194572179859</v>
      </c>
    </row>
    <row r="37" spans="1:31" x14ac:dyDescent="0.3">
      <c r="A37" s="1" t="s">
        <v>32</v>
      </c>
      <c r="B37" s="1" t="s">
        <v>33</v>
      </c>
      <c r="C37" s="1">
        <v>4.09422089749958E-2</v>
      </c>
      <c r="D37" s="1">
        <v>0.68978562421185297</v>
      </c>
      <c r="F37" s="2">
        <v>9.81</v>
      </c>
      <c r="G37" s="2">
        <v>4000</v>
      </c>
      <c r="H37" s="18">
        <f t="shared" si="39"/>
        <v>0.05</v>
      </c>
      <c r="I37" s="2">
        <f t="shared" si="1"/>
        <v>2.5000000000000001E-2</v>
      </c>
      <c r="J37" s="2">
        <v>100</v>
      </c>
      <c r="K37" s="8">
        <v>1</v>
      </c>
      <c r="L37" s="2">
        <f t="shared" ref="L37:L45" si="40">C37*U37</f>
        <v>80.328614008941756</v>
      </c>
      <c r="M37" s="4">
        <f t="shared" si="2"/>
        <v>1</v>
      </c>
      <c r="N37" s="2" t="s">
        <v>29</v>
      </c>
      <c r="O37" s="2" t="e">
        <f t="shared" ref="O37:O45" si="41">N37-1</f>
        <v>#VALUE!</v>
      </c>
      <c r="P37" s="2">
        <f t="shared" ref="P37:P45" si="42">1-D37</f>
        <v>0.31021437578814703</v>
      </c>
      <c r="Q37" s="2">
        <f t="shared" ref="Q37:Q45" si="43">(((U37-L37)*(H37^K37))/(J37))^(1/K37)</f>
        <v>0.94083569299552916</v>
      </c>
      <c r="R37" s="2">
        <f t="shared" ref="R37:R45" si="44">(((L37^(((2*K37)+3)/3))*(H37^K37)*(1/J37))/((U37*M37)^(2*K37/3)))^(1/K37)</f>
        <v>4.771128628003273E-3</v>
      </c>
      <c r="S37" s="2">
        <f t="shared" ref="S37:S45" si="45">Q37/R37</f>
        <v>197.19352931997366</v>
      </c>
      <c r="T37" s="5">
        <f t="shared" ref="T37:T45" si="46">(J37+(L37*H37/Q37))/U37</f>
        <v>5.3144242264879293E-2</v>
      </c>
      <c r="U37" s="5">
        <f t="shared" ref="U37:U45" si="47">F37*G37*H37</f>
        <v>1962</v>
      </c>
      <c r="V37" s="2">
        <f t="shared" ref="V37:V45" si="48">J37*((Q37/H37)^(K37))</f>
        <v>1881.6713859910583</v>
      </c>
      <c r="W37" s="2">
        <f t="shared" ref="W37:W45" si="49">G37*Q37*Q37</f>
        <v>3540.6872048575106</v>
      </c>
      <c r="X37" s="2">
        <f t="shared" ref="X37:X45" si="50">U37/V37</f>
        <v>1.0426900332369318</v>
      </c>
      <c r="Y37" s="12">
        <f t="shared" ref="Y37:Y45" si="51">L37/U37</f>
        <v>4.09422089749958E-2</v>
      </c>
      <c r="Z37" s="2">
        <f t="shared" ref="Z37:Z45" si="52">W37/U37</f>
        <v>1.8046316028835425</v>
      </c>
      <c r="AA37" s="2">
        <f t="shared" ref="AA37:AA45" si="53">W37/V37</f>
        <v>1.8816713859910585</v>
      </c>
      <c r="AB37" s="2">
        <f t="shared" ref="AB37:AB45" si="54">(X37*M37)^((1)/((2*K37)+3))</f>
        <v>1.0083958378374251</v>
      </c>
      <c r="AC37" s="2">
        <f t="shared" ref="AC37:AC45" si="55">((1/Y37)*M37)^(1/3)</f>
        <v>2.9014131592686963</v>
      </c>
      <c r="AD37" s="2">
        <f t="shared" ref="AD37:AD45" si="56">((1/X37)*(1/M37))^((2)/((2*K37)+3))</f>
        <v>0.98341745190695562</v>
      </c>
      <c r="AE37" s="2">
        <f t="shared" ref="AE37:AE45" si="57">((Y37)*(1/M37))^(2/3)</f>
        <v>0.11879026388958175</v>
      </c>
    </row>
    <row r="38" spans="1:31" x14ac:dyDescent="0.3">
      <c r="A38" s="1" t="s">
        <v>32</v>
      </c>
      <c r="B38" s="1" t="s">
        <v>33</v>
      </c>
      <c r="C38" s="1">
        <v>5.0968703427719801E-2</v>
      </c>
      <c r="D38" s="1">
        <v>0.64060529634300101</v>
      </c>
      <c r="F38" s="2">
        <v>9.81</v>
      </c>
      <c r="G38" s="2">
        <v>4000</v>
      </c>
      <c r="H38" s="18">
        <f t="shared" si="39"/>
        <v>0.05</v>
      </c>
      <c r="I38" s="2">
        <f t="shared" si="1"/>
        <v>2.5000000000000001E-2</v>
      </c>
      <c r="J38" s="2">
        <v>100</v>
      </c>
      <c r="K38" s="8">
        <v>1</v>
      </c>
      <c r="L38" s="2">
        <f t="shared" si="40"/>
        <v>100.00059612518625</v>
      </c>
      <c r="M38" s="4">
        <f t="shared" si="2"/>
        <v>1</v>
      </c>
      <c r="N38" s="2" t="s">
        <v>29</v>
      </c>
      <c r="O38" s="2" t="e">
        <f t="shared" si="41"/>
        <v>#VALUE!</v>
      </c>
      <c r="P38" s="2">
        <f t="shared" si="42"/>
        <v>0.35939470365699899</v>
      </c>
      <c r="Q38" s="2">
        <f t="shared" si="43"/>
        <v>0.93099970193740689</v>
      </c>
      <c r="R38" s="2">
        <f t="shared" si="44"/>
        <v>6.8734532612581157E-3</v>
      </c>
      <c r="S38" s="2">
        <f t="shared" si="45"/>
        <v>135.44861171675399</v>
      </c>
      <c r="T38" s="5">
        <f t="shared" si="46"/>
        <v>5.3705709997489998E-2</v>
      </c>
      <c r="U38" s="5">
        <f t="shared" si="47"/>
        <v>1962</v>
      </c>
      <c r="V38" s="2">
        <f t="shared" si="48"/>
        <v>1861.9994038748137</v>
      </c>
      <c r="W38" s="2">
        <f t="shared" si="49"/>
        <v>3467.041780030162</v>
      </c>
      <c r="X38" s="2">
        <f t="shared" si="50"/>
        <v>1.0537060301507537</v>
      </c>
      <c r="Y38" s="12">
        <f t="shared" si="51"/>
        <v>5.0968703427719801E-2</v>
      </c>
      <c r="Z38" s="2">
        <f t="shared" si="52"/>
        <v>1.7670957084761274</v>
      </c>
      <c r="AA38" s="2">
        <f t="shared" si="53"/>
        <v>1.861999403874814</v>
      </c>
      <c r="AB38" s="2">
        <f t="shared" si="54"/>
        <v>1.0105176259280648</v>
      </c>
      <c r="AC38" s="2">
        <f t="shared" si="55"/>
        <v>2.6971109033070433</v>
      </c>
      <c r="AD38" s="2">
        <f t="shared" si="56"/>
        <v>0.97929201607265948</v>
      </c>
      <c r="AE38" s="2">
        <f t="shared" si="57"/>
        <v>0.13746824574232616</v>
      </c>
    </row>
    <row r="39" spans="1:31" x14ac:dyDescent="0.3">
      <c r="A39" s="1" t="s">
        <v>32</v>
      </c>
      <c r="B39" s="1" t="s">
        <v>33</v>
      </c>
      <c r="C39" s="1">
        <v>6.7017590788082601E-2</v>
      </c>
      <c r="D39" s="1">
        <v>0.56620428751576202</v>
      </c>
      <c r="F39" s="2">
        <v>9.81</v>
      </c>
      <c r="G39" s="2">
        <v>4000</v>
      </c>
      <c r="H39" s="18">
        <f t="shared" si="39"/>
        <v>0.05</v>
      </c>
      <c r="I39" s="2">
        <f t="shared" si="1"/>
        <v>2.5000000000000001E-2</v>
      </c>
      <c r="J39" s="2">
        <v>100</v>
      </c>
      <c r="K39" s="8">
        <v>1</v>
      </c>
      <c r="L39" s="2">
        <f t="shared" si="40"/>
        <v>131.48851312621807</v>
      </c>
      <c r="M39" s="4">
        <f t="shared" si="2"/>
        <v>1</v>
      </c>
      <c r="N39" s="2" t="s">
        <v>29</v>
      </c>
      <c r="O39" s="2" t="e">
        <f t="shared" si="41"/>
        <v>#VALUE!</v>
      </c>
      <c r="P39" s="2">
        <f t="shared" si="42"/>
        <v>0.43379571248423798</v>
      </c>
      <c r="Q39" s="2">
        <f t="shared" si="43"/>
        <v>0.91525574343689098</v>
      </c>
      <c r="R39" s="2">
        <f t="shared" si="44"/>
        <v>1.0847184478831326E-2</v>
      </c>
      <c r="S39" s="2">
        <f t="shared" si="45"/>
        <v>84.377263539957838</v>
      </c>
      <c r="T39" s="5">
        <f t="shared" si="46"/>
        <v>5.4629539730878085E-2</v>
      </c>
      <c r="U39" s="5">
        <f t="shared" si="47"/>
        <v>1962</v>
      </c>
      <c r="V39" s="2">
        <f t="shared" si="48"/>
        <v>1830.5114868737817</v>
      </c>
      <c r="W39" s="2">
        <f t="shared" si="49"/>
        <v>3350.772303576864</v>
      </c>
      <c r="X39" s="2">
        <f t="shared" si="50"/>
        <v>1.0718315695198284</v>
      </c>
      <c r="Y39" s="12">
        <f t="shared" si="51"/>
        <v>6.7017590788082601E-2</v>
      </c>
      <c r="Z39" s="2">
        <f t="shared" si="52"/>
        <v>1.7078350171135903</v>
      </c>
      <c r="AA39" s="2">
        <f t="shared" si="53"/>
        <v>1.8305114868737822</v>
      </c>
      <c r="AB39" s="2">
        <f t="shared" si="54"/>
        <v>1.013970474062827</v>
      </c>
      <c r="AC39" s="2">
        <f t="shared" si="55"/>
        <v>2.4618999313260796</v>
      </c>
      <c r="AD39" s="2">
        <f t="shared" si="56"/>
        <v>0.97263385493251575</v>
      </c>
      <c r="AE39" s="2">
        <f t="shared" si="57"/>
        <v>0.16499060215881983</v>
      </c>
    </row>
    <row r="40" spans="1:31" x14ac:dyDescent="0.3">
      <c r="A40" s="1" t="s">
        <v>32</v>
      </c>
      <c r="B40" s="1" t="s">
        <v>33</v>
      </c>
      <c r="C40" s="1">
        <v>7.2014597424433502E-2</v>
      </c>
      <c r="D40" s="1">
        <v>0.53089533417402202</v>
      </c>
      <c r="F40" s="2">
        <v>9.81</v>
      </c>
      <c r="G40" s="2">
        <v>4000</v>
      </c>
      <c r="H40" s="18">
        <f t="shared" si="39"/>
        <v>0.05</v>
      </c>
      <c r="I40" s="2">
        <f t="shared" si="1"/>
        <v>2.5000000000000001E-2</v>
      </c>
      <c r="J40" s="2">
        <v>100</v>
      </c>
      <c r="K40" s="8">
        <v>1</v>
      </c>
      <c r="L40" s="2">
        <f t="shared" si="40"/>
        <v>141.29264014673853</v>
      </c>
      <c r="M40" s="4">
        <f t="shared" si="2"/>
        <v>1</v>
      </c>
      <c r="N40" s="2" t="s">
        <v>29</v>
      </c>
      <c r="O40" s="2" t="e">
        <f t="shared" si="41"/>
        <v>#VALUE!</v>
      </c>
      <c r="P40" s="2">
        <f t="shared" si="42"/>
        <v>0.46910466582597798</v>
      </c>
      <c r="Q40" s="2">
        <f t="shared" si="43"/>
        <v>0.91035367992663085</v>
      </c>
      <c r="R40" s="2">
        <f t="shared" si="44"/>
        <v>1.2228407501071127E-2</v>
      </c>
      <c r="S40" s="2">
        <f t="shared" si="45"/>
        <v>74.445808241742839</v>
      </c>
      <c r="T40" s="5">
        <f t="shared" si="46"/>
        <v>5.4923708337214286E-2</v>
      </c>
      <c r="U40" s="5">
        <f t="shared" si="47"/>
        <v>1962</v>
      </c>
      <c r="V40" s="2">
        <f t="shared" si="48"/>
        <v>1820.7073598532616</v>
      </c>
      <c r="W40" s="2">
        <f t="shared" si="49"/>
        <v>3314.9752902238347</v>
      </c>
      <c r="X40" s="2">
        <f t="shared" si="50"/>
        <v>1.0776031575761444</v>
      </c>
      <c r="Y40" s="12">
        <f t="shared" si="51"/>
        <v>7.2014597424433502E-2</v>
      </c>
      <c r="Z40" s="2">
        <f t="shared" si="52"/>
        <v>1.6895898523057262</v>
      </c>
      <c r="AA40" s="2">
        <f t="shared" si="53"/>
        <v>1.8207073598532619</v>
      </c>
      <c r="AB40" s="2">
        <f t="shared" si="54"/>
        <v>1.0150601331895384</v>
      </c>
      <c r="AC40" s="2">
        <f t="shared" si="55"/>
        <v>2.4035868588148448</v>
      </c>
      <c r="AD40" s="2">
        <f t="shared" si="56"/>
        <v>0.97054674608506208</v>
      </c>
      <c r="AE40" s="2">
        <f t="shared" si="57"/>
        <v>0.17309334001220969</v>
      </c>
    </row>
    <row r="41" spans="1:31" x14ac:dyDescent="0.3">
      <c r="A41" s="1" t="s">
        <v>32</v>
      </c>
      <c r="B41" s="1" t="s">
        <v>33</v>
      </c>
      <c r="C41" s="1">
        <v>8.7104971531201003E-2</v>
      </c>
      <c r="D41" s="1">
        <v>0.49054224464060497</v>
      </c>
      <c r="F41" s="2">
        <v>9.81</v>
      </c>
      <c r="G41" s="2">
        <v>4000</v>
      </c>
      <c r="H41" s="18">
        <f t="shared" si="39"/>
        <v>0.05</v>
      </c>
      <c r="I41" s="2">
        <f t="shared" si="1"/>
        <v>2.5000000000000001E-2</v>
      </c>
      <c r="J41" s="2">
        <v>100</v>
      </c>
      <c r="K41" s="8">
        <v>1</v>
      </c>
      <c r="L41" s="2">
        <f t="shared" si="40"/>
        <v>170.89995414421637</v>
      </c>
      <c r="M41" s="4">
        <f t="shared" si="2"/>
        <v>1</v>
      </c>
      <c r="N41" s="2" t="s">
        <v>29</v>
      </c>
      <c r="O41" s="2" t="e">
        <f t="shared" si="41"/>
        <v>#VALUE!</v>
      </c>
      <c r="P41" s="2">
        <f t="shared" si="42"/>
        <v>0.50945775535939508</v>
      </c>
      <c r="Q41" s="2">
        <f t="shared" si="43"/>
        <v>0.89555002292789199</v>
      </c>
      <c r="R41" s="2">
        <f t="shared" si="44"/>
        <v>1.6790897582757969E-2</v>
      </c>
      <c r="S41" s="2">
        <f t="shared" si="45"/>
        <v>53.335446691515969</v>
      </c>
      <c r="T41" s="5">
        <f t="shared" si="46"/>
        <v>5.5831610429232174E-2</v>
      </c>
      <c r="U41" s="5">
        <f t="shared" si="47"/>
        <v>1962</v>
      </c>
      <c r="V41" s="2">
        <f t="shared" si="48"/>
        <v>1791.1000458557839</v>
      </c>
      <c r="W41" s="2">
        <f t="shared" si="49"/>
        <v>3208.0393742645915</v>
      </c>
      <c r="X41" s="2">
        <f t="shared" si="50"/>
        <v>1.0954161966215352</v>
      </c>
      <c r="Y41" s="12">
        <f t="shared" si="51"/>
        <v>8.7104971531201003E-2</v>
      </c>
      <c r="Z41" s="2">
        <f t="shared" si="52"/>
        <v>1.6350863273519833</v>
      </c>
      <c r="AA41" s="2">
        <f t="shared" si="53"/>
        <v>1.791100045855784</v>
      </c>
      <c r="AB41" s="2">
        <f t="shared" si="54"/>
        <v>1.0183939991948256</v>
      </c>
      <c r="AC41" s="2">
        <f t="shared" si="55"/>
        <v>2.255895713107126</v>
      </c>
      <c r="AD41" s="2">
        <f t="shared" si="56"/>
        <v>0.96420268558400868</v>
      </c>
      <c r="AE41" s="2">
        <f t="shared" si="57"/>
        <v>0.19649973186755459</v>
      </c>
    </row>
    <row r="42" spans="1:31" x14ac:dyDescent="0.3">
      <c r="A42" s="1" t="s">
        <v>32</v>
      </c>
      <c r="B42" s="1" t="s">
        <v>33</v>
      </c>
      <c r="C42" s="1">
        <v>0.112818602162864</v>
      </c>
      <c r="D42" s="1">
        <v>0.46153846153846101</v>
      </c>
      <c r="F42" s="2">
        <v>9.81</v>
      </c>
      <c r="G42" s="2">
        <v>4000</v>
      </c>
      <c r="H42" s="18">
        <f t="shared" si="39"/>
        <v>0.05</v>
      </c>
      <c r="I42" s="2">
        <f t="shared" si="1"/>
        <v>2.5000000000000001E-2</v>
      </c>
      <c r="J42" s="2">
        <v>100</v>
      </c>
      <c r="K42" s="8">
        <v>1</v>
      </c>
      <c r="L42" s="2">
        <f t="shared" si="40"/>
        <v>221.35009744353917</v>
      </c>
      <c r="M42" s="4">
        <f t="shared" si="2"/>
        <v>1</v>
      </c>
      <c r="N42" s="2" t="s">
        <v>29</v>
      </c>
      <c r="O42" s="2" t="e">
        <f t="shared" si="41"/>
        <v>#VALUE!</v>
      </c>
      <c r="P42" s="2">
        <f t="shared" si="42"/>
        <v>0.53846153846153899</v>
      </c>
      <c r="Q42" s="2">
        <f t="shared" si="43"/>
        <v>0.8703249512782304</v>
      </c>
      <c r="R42" s="2">
        <f t="shared" si="44"/>
        <v>2.5840655813186352E-2</v>
      </c>
      <c r="S42" s="2">
        <f t="shared" si="45"/>
        <v>33.680451362000966</v>
      </c>
      <c r="T42" s="5">
        <f t="shared" si="46"/>
        <v>5.7449806450528523E-2</v>
      </c>
      <c r="U42" s="5">
        <f t="shared" si="47"/>
        <v>1962</v>
      </c>
      <c r="V42" s="2">
        <f t="shared" si="48"/>
        <v>1740.6499025564606</v>
      </c>
      <c r="W42" s="2">
        <f t="shared" si="49"/>
        <v>3029.8620832698166</v>
      </c>
      <c r="X42" s="2">
        <f t="shared" si="50"/>
        <v>1.1271652025593697</v>
      </c>
      <c r="Y42" s="12">
        <f t="shared" si="51"/>
        <v>0.112818602162864</v>
      </c>
      <c r="Z42" s="2">
        <f t="shared" si="52"/>
        <v>1.5442722136951155</v>
      </c>
      <c r="AA42" s="2">
        <f t="shared" si="53"/>
        <v>1.740649902556461</v>
      </c>
      <c r="AB42" s="2">
        <f t="shared" si="54"/>
        <v>1.0242300525593468</v>
      </c>
      <c r="AC42" s="2">
        <f t="shared" si="55"/>
        <v>2.0695365229296758</v>
      </c>
      <c r="AD42" s="2">
        <f t="shared" si="56"/>
        <v>0.95324595448205518</v>
      </c>
      <c r="AE42" s="2">
        <f t="shared" si="57"/>
        <v>0.23348221764192001</v>
      </c>
    </row>
    <row r="43" spans="1:31" x14ac:dyDescent="0.3">
      <c r="A43" s="1" t="s">
        <v>32</v>
      </c>
      <c r="B43" s="1" t="s">
        <v>33</v>
      </c>
      <c r="C43" s="1">
        <v>0.150651534258091</v>
      </c>
      <c r="D43" s="1">
        <v>0.43127364438839799</v>
      </c>
      <c r="F43" s="2">
        <v>9.81</v>
      </c>
      <c r="G43" s="2">
        <v>4000</v>
      </c>
      <c r="H43" s="18">
        <f t="shared" si="39"/>
        <v>0.05</v>
      </c>
      <c r="I43" s="2">
        <f t="shared" si="1"/>
        <v>2.5000000000000001E-2</v>
      </c>
      <c r="J43" s="2">
        <v>100</v>
      </c>
      <c r="K43" s="8">
        <v>1</v>
      </c>
      <c r="L43" s="2">
        <f t="shared" si="40"/>
        <v>295.57831021437454</v>
      </c>
      <c r="M43" s="4">
        <f t="shared" si="2"/>
        <v>1</v>
      </c>
      <c r="N43" s="2" t="s">
        <v>29</v>
      </c>
      <c r="O43" s="2" t="e">
        <f t="shared" si="41"/>
        <v>#VALUE!</v>
      </c>
      <c r="P43" s="2">
        <f t="shared" si="42"/>
        <v>0.56872635561160201</v>
      </c>
      <c r="Q43" s="2">
        <f t="shared" si="43"/>
        <v>0.83321084489281272</v>
      </c>
      <c r="R43" s="2">
        <f t="shared" si="44"/>
        <v>4.1843204695954143E-2</v>
      </c>
      <c r="S43" s="2">
        <f t="shared" si="45"/>
        <v>19.912691939998005</v>
      </c>
      <c r="T43" s="5">
        <f t="shared" si="46"/>
        <v>6.0008820464203368E-2</v>
      </c>
      <c r="U43" s="5">
        <f t="shared" si="47"/>
        <v>1962</v>
      </c>
      <c r="V43" s="2">
        <f t="shared" si="48"/>
        <v>1666.4216897856254</v>
      </c>
      <c r="W43" s="2">
        <f t="shared" si="49"/>
        <v>2776.961248187979</v>
      </c>
      <c r="X43" s="2">
        <f t="shared" si="50"/>
        <v>1.1773730575076702</v>
      </c>
      <c r="Y43" s="12">
        <f t="shared" si="51"/>
        <v>0.150651534258091</v>
      </c>
      <c r="Z43" s="2">
        <f t="shared" si="52"/>
        <v>1.4153727054984602</v>
      </c>
      <c r="AA43" s="2">
        <f t="shared" si="53"/>
        <v>1.6664216897856252</v>
      </c>
      <c r="AB43" s="2">
        <f t="shared" si="54"/>
        <v>1.033196243934605</v>
      </c>
      <c r="AC43" s="2">
        <f t="shared" si="55"/>
        <v>1.8793549565225265</v>
      </c>
      <c r="AD43" s="2">
        <f t="shared" si="56"/>
        <v>0.93677299523212121</v>
      </c>
      <c r="AE43" s="2">
        <f t="shared" si="57"/>
        <v>0.28312770761566658</v>
      </c>
    </row>
    <row r="44" spans="1:31" x14ac:dyDescent="0.3">
      <c r="A44" s="1" t="s">
        <v>32</v>
      </c>
      <c r="B44" s="1" t="s">
        <v>33</v>
      </c>
      <c r="C44" s="1">
        <v>0.18543696740418</v>
      </c>
      <c r="D44" s="1">
        <v>0.38965952080706101</v>
      </c>
      <c r="F44" s="2">
        <v>9.81</v>
      </c>
      <c r="G44" s="2">
        <v>4000</v>
      </c>
      <c r="H44" s="18">
        <f t="shared" si="39"/>
        <v>0.05</v>
      </c>
      <c r="I44" s="2">
        <f t="shared" si="1"/>
        <v>2.5000000000000001E-2</v>
      </c>
      <c r="J44" s="2">
        <v>100</v>
      </c>
      <c r="K44" s="8">
        <v>1</v>
      </c>
      <c r="L44" s="2">
        <f t="shared" si="40"/>
        <v>363.82733004700117</v>
      </c>
      <c r="M44" s="4">
        <f t="shared" si="2"/>
        <v>1</v>
      </c>
      <c r="N44" s="2" t="s">
        <v>29</v>
      </c>
      <c r="O44" s="2" t="e">
        <f t="shared" si="41"/>
        <v>#VALUE!</v>
      </c>
      <c r="P44" s="2">
        <f t="shared" si="42"/>
        <v>0.61034047919293899</v>
      </c>
      <c r="Q44" s="2">
        <f t="shared" si="43"/>
        <v>0.79908633497649939</v>
      </c>
      <c r="R44" s="2">
        <f t="shared" si="44"/>
        <v>5.9155645983663074E-2</v>
      </c>
      <c r="S44" s="2">
        <f t="shared" si="45"/>
        <v>13.508200640682411</v>
      </c>
      <c r="T44" s="5">
        <f t="shared" si="46"/>
        <v>6.2571461695025074E-2</v>
      </c>
      <c r="U44" s="5">
        <f t="shared" si="47"/>
        <v>1962</v>
      </c>
      <c r="V44" s="2">
        <f t="shared" si="48"/>
        <v>1598.1726699529988</v>
      </c>
      <c r="W44" s="2">
        <f t="shared" si="49"/>
        <v>2554.1558829846967</v>
      </c>
      <c r="X44" s="2">
        <f t="shared" si="50"/>
        <v>1.2276520784563918</v>
      </c>
      <c r="Y44" s="12">
        <f t="shared" si="51"/>
        <v>0.18543696740418</v>
      </c>
      <c r="Z44" s="2">
        <f t="shared" si="52"/>
        <v>1.3018123766486731</v>
      </c>
      <c r="AA44" s="2">
        <f t="shared" si="53"/>
        <v>1.5981726699529988</v>
      </c>
      <c r="AB44" s="2">
        <f t="shared" si="54"/>
        <v>1.0418736649909925</v>
      </c>
      <c r="AC44" s="2">
        <f t="shared" si="55"/>
        <v>1.7536162499410521</v>
      </c>
      <c r="AD44" s="2">
        <f t="shared" si="56"/>
        <v>0.9212338314113222</v>
      </c>
      <c r="AE44" s="2">
        <f t="shared" si="57"/>
        <v>0.32518527937975927</v>
      </c>
    </row>
    <row r="45" spans="1:31" x14ac:dyDescent="0.3">
      <c r="A45" s="1" t="s">
        <v>32</v>
      </c>
      <c r="B45" s="1" t="s">
        <v>33</v>
      </c>
      <c r="C45" s="1">
        <v>0.24890328250983901</v>
      </c>
      <c r="D45" s="1">
        <v>0.27742749054224403</v>
      </c>
      <c r="F45" s="2">
        <v>9.81</v>
      </c>
      <c r="G45" s="2">
        <v>4000</v>
      </c>
      <c r="H45" s="18">
        <f t="shared" si="39"/>
        <v>0.05</v>
      </c>
      <c r="I45" s="2">
        <f t="shared" si="1"/>
        <v>2.5000000000000001E-2</v>
      </c>
      <c r="J45" s="2">
        <v>100</v>
      </c>
      <c r="K45" s="8">
        <v>1</v>
      </c>
      <c r="L45" s="2">
        <f t="shared" si="40"/>
        <v>488.34824028430415</v>
      </c>
      <c r="M45" s="4">
        <f t="shared" si="2"/>
        <v>1</v>
      </c>
      <c r="N45" s="2" t="s">
        <v>29</v>
      </c>
      <c r="O45" s="2" t="e">
        <f t="shared" si="41"/>
        <v>#VALUE!</v>
      </c>
      <c r="P45" s="2">
        <f t="shared" si="42"/>
        <v>0.72257250945775597</v>
      </c>
      <c r="Q45" s="2">
        <f t="shared" si="43"/>
        <v>0.73682587985784798</v>
      </c>
      <c r="R45" s="2">
        <f t="shared" si="44"/>
        <v>9.6616962739223461E-2</v>
      </c>
      <c r="S45" s="2">
        <f t="shared" si="45"/>
        <v>7.6262579465119096</v>
      </c>
      <c r="T45" s="5">
        <f t="shared" si="46"/>
        <v>6.7858637117423515E-2</v>
      </c>
      <c r="U45" s="5">
        <f t="shared" si="47"/>
        <v>1962</v>
      </c>
      <c r="V45" s="2">
        <f t="shared" si="48"/>
        <v>1473.651759715696</v>
      </c>
      <c r="W45" s="2">
        <f t="shared" si="49"/>
        <v>2171.6495089131672</v>
      </c>
      <c r="X45" s="2">
        <f t="shared" si="50"/>
        <v>1.3313864602438492</v>
      </c>
      <c r="Y45" s="12">
        <f t="shared" si="51"/>
        <v>0.24890328250983901</v>
      </c>
      <c r="Z45" s="2">
        <f t="shared" si="52"/>
        <v>1.1068549994460588</v>
      </c>
      <c r="AA45" s="2">
        <f t="shared" si="53"/>
        <v>1.4736517597156957</v>
      </c>
      <c r="AB45" s="2">
        <f t="shared" si="54"/>
        <v>1.0589143340659564</v>
      </c>
      <c r="AC45" s="2">
        <f t="shared" si="55"/>
        <v>1.5897291045335715</v>
      </c>
      <c r="AD45" s="2">
        <f t="shared" si="56"/>
        <v>0.89182233680269507</v>
      </c>
      <c r="AE45" s="2">
        <f t="shared" si="57"/>
        <v>0.39568879241983301</v>
      </c>
    </row>
  </sheetData>
  <mergeCells count="2">
    <mergeCell ref="F1:AE1"/>
    <mergeCell ref="A1:D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105"/>
  <sheetViews>
    <sheetView topLeftCell="R1" workbookViewId="0">
      <selection activeCell="AE7" sqref="AE7"/>
    </sheetView>
  </sheetViews>
  <sheetFormatPr baseColWidth="10" defaultColWidth="8.88671875" defaultRowHeight="14.4" x14ac:dyDescent="0.3"/>
  <cols>
    <col min="1" max="1" width="64" style="16" bestFit="1" customWidth="1"/>
    <col min="2" max="2" width="12.88671875" style="16" customWidth="1"/>
    <col min="7" max="7" width="9.5546875" bestFit="1" customWidth="1"/>
    <col min="19" max="19" width="12" bestFit="1" customWidth="1"/>
    <col min="21" max="21" width="11.109375" bestFit="1" customWidth="1"/>
    <col min="22" max="22" width="12.6640625" bestFit="1" customWidth="1"/>
    <col min="23" max="23" width="12" bestFit="1" customWidth="1"/>
    <col min="28" max="28" width="17" bestFit="1" customWidth="1"/>
    <col min="29" max="29" width="16.6640625" bestFit="1" customWidth="1"/>
    <col min="30" max="30" width="23.88671875" bestFit="1" customWidth="1"/>
    <col min="31" max="31" width="16.6640625" bestFit="1" customWidth="1"/>
  </cols>
  <sheetData>
    <row r="1" spans="1:31" ht="15" thickBot="1" x14ac:dyDescent="0.35">
      <c r="A1" s="39" t="s">
        <v>48</v>
      </c>
      <c r="B1" s="40"/>
      <c r="C1" s="40"/>
      <c r="D1" s="41"/>
      <c r="E1" s="16"/>
      <c r="F1" s="33" t="s">
        <v>23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5"/>
    </row>
    <row r="2" spans="1:31" ht="20.399999999999999" thickBot="1" x14ac:dyDescent="0.35">
      <c r="A2" s="13" t="s">
        <v>37</v>
      </c>
      <c r="B2" s="13" t="s">
        <v>35</v>
      </c>
      <c r="C2" s="13" t="s">
        <v>1</v>
      </c>
      <c r="D2" s="13" t="s">
        <v>41</v>
      </c>
      <c r="E2" s="16"/>
      <c r="F2" s="6" t="s">
        <v>6</v>
      </c>
      <c r="G2" s="6" t="s">
        <v>8</v>
      </c>
      <c r="H2" s="6" t="s">
        <v>9</v>
      </c>
      <c r="I2" s="6" t="s">
        <v>14</v>
      </c>
      <c r="J2" s="6" t="s">
        <v>7</v>
      </c>
      <c r="K2" s="6" t="s">
        <v>19</v>
      </c>
      <c r="L2" s="6" t="s">
        <v>4</v>
      </c>
      <c r="M2" s="20" t="s">
        <v>2</v>
      </c>
      <c r="N2" s="6" t="s">
        <v>38</v>
      </c>
      <c r="O2" s="6" t="s">
        <v>39</v>
      </c>
      <c r="P2" s="6" t="s">
        <v>40</v>
      </c>
      <c r="Q2" s="6" t="s">
        <v>10</v>
      </c>
      <c r="R2" s="6" t="s">
        <v>15</v>
      </c>
      <c r="S2" s="6" t="s">
        <v>16</v>
      </c>
      <c r="T2" s="15" t="s">
        <v>17</v>
      </c>
      <c r="U2" s="21" t="s">
        <v>3</v>
      </c>
      <c r="V2" s="6" t="s">
        <v>21</v>
      </c>
      <c r="W2" s="6" t="s">
        <v>13</v>
      </c>
      <c r="X2" s="6" t="s">
        <v>0</v>
      </c>
      <c r="Y2" s="6" t="s">
        <v>1</v>
      </c>
      <c r="Z2" s="6" t="s">
        <v>12</v>
      </c>
      <c r="AA2" s="6" t="s">
        <v>11</v>
      </c>
      <c r="AB2" s="6" t="s">
        <v>20</v>
      </c>
      <c r="AC2" s="6" t="s">
        <v>5</v>
      </c>
      <c r="AD2" s="6" t="s">
        <v>27</v>
      </c>
      <c r="AE2" s="6" t="s">
        <v>28</v>
      </c>
    </row>
    <row r="3" spans="1:31" x14ac:dyDescent="0.3">
      <c r="A3" s="24" t="s">
        <v>36</v>
      </c>
      <c r="B3" s="2" t="s">
        <v>33</v>
      </c>
      <c r="C3" s="2">
        <v>3.9630436465007196E-3</v>
      </c>
      <c r="D3" s="2">
        <v>0.94645247657295795</v>
      </c>
      <c r="E3" s="16"/>
      <c r="F3" s="2">
        <v>9.81</v>
      </c>
      <c r="G3" s="2">
        <v>4000</v>
      </c>
      <c r="H3" s="18">
        <f>100/1000</f>
        <v>0.1</v>
      </c>
      <c r="I3" s="2">
        <f>50/1000</f>
        <v>0.05</v>
      </c>
      <c r="J3" s="2">
        <v>100</v>
      </c>
      <c r="K3" s="8">
        <v>1</v>
      </c>
      <c r="L3" s="2">
        <f>C3*U3</f>
        <v>15.550983268868823</v>
      </c>
      <c r="M3" s="4">
        <f>H3/I3/2</f>
        <v>1</v>
      </c>
      <c r="N3" s="2" t="s">
        <v>29</v>
      </c>
      <c r="O3" s="2" t="e">
        <f>N3-1</f>
        <v>#VALUE!</v>
      </c>
      <c r="P3" s="2">
        <f>1-D3</f>
        <v>5.3547523427042054E-2</v>
      </c>
      <c r="Q3" s="2">
        <f>(((U3-L3)*(H3^K3))/(J3))^(1/K3)</f>
        <v>3.9084490167311312</v>
      </c>
      <c r="R3" s="2">
        <f>(((L3^(((2*K3)+3)/3))*(H3^K3)*(1/J3))/((U3*M3)^(2*K3/3)))^(1/K3)</f>
        <v>3.8944287056406028E-4</v>
      </c>
      <c r="S3" s="2">
        <f>Q3/R3</f>
        <v>10036.000944298252</v>
      </c>
      <c r="T3" s="5">
        <f>(J3+(L3*H3/Q3))/U3</f>
        <v>2.5585596632301977E-2</v>
      </c>
      <c r="U3" s="5">
        <f>F3*G3*H3</f>
        <v>3924</v>
      </c>
      <c r="V3" s="2">
        <f>J3*((Q3/H3)^(K3))</f>
        <v>3908.449016731131</v>
      </c>
      <c r="W3" s="2">
        <f>G3*Q3*Q3</f>
        <v>61103.894865546179</v>
      </c>
      <c r="X3" s="2">
        <f>U3/V3</f>
        <v>1.0039788118515296</v>
      </c>
      <c r="Y3" s="12">
        <f>L3/U3</f>
        <v>3.9630436465007196E-3</v>
      </c>
      <c r="Z3" s="2">
        <f>W3/U3</f>
        <v>15.571838650750809</v>
      </c>
      <c r="AA3" s="2">
        <f>W3/V3</f>
        <v>15.633796066924525</v>
      </c>
      <c r="AB3" s="2">
        <f>(X3*M3)^((1)/((2*K3)+3))</f>
        <v>1.0007944989098512</v>
      </c>
      <c r="AC3" s="2">
        <f>((1/Y3)*M3)^(1/3)</f>
        <v>6.3191264822865811</v>
      </c>
      <c r="AD3" s="2">
        <f>((1/X3)*(1/M3))^((2)/((2*K3)+3))</f>
        <v>0.99841289386179977</v>
      </c>
      <c r="AE3" s="2">
        <f>((Y3)*(1/M3))^(2/3)</f>
        <v>2.5042974057060283E-2</v>
      </c>
    </row>
    <row r="4" spans="1:31" x14ac:dyDescent="0.3">
      <c r="A4" s="23" t="s">
        <v>36</v>
      </c>
      <c r="B4" s="1" t="s">
        <v>33</v>
      </c>
      <c r="C4" s="1">
        <v>1.9292257179599901E-2</v>
      </c>
      <c r="D4" s="1">
        <v>0.78982597054886206</v>
      </c>
      <c r="E4" s="16"/>
      <c r="F4" s="2">
        <v>9.81</v>
      </c>
      <c r="G4" s="2">
        <v>4000</v>
      </c>
      <c r="H4" s="18">
        <f>100/1000</f>
        <v>0.1</v>
      </c>
      <c r="I4" s="2">
        <f t="shared" ref="I4:I67" si="0">50/1000</f>
        <v>0.05</v>
      </c>
      <c r="J4" s="2">
        <v>100</v>
      </c>
      <c r="K4" s="8">
        <v>1</v>
      </c>
      <c r="L4" s="2">
        <f>C4*U4</f>
        <v>75.702817172750017</v>
      </c>
      <c r="M4" s="4">
        <f t="shared" ref="M4:M67" si="1">H4/I4/2</f>
        <v>1</v>
      </c>
      <c r="N4" s="2" t="s">
        <v>29</v>
      </c>
      <c r="O4" s="2" t="e">
        <f>N4-1</f>
        <v>#VALUE!</v>
      </c>
      <c r="P4" s="2">
        <f>1-D4</f>
        <v>0.21017402945113794</v>
      </c>
      <c r="Q4" s="2">
        <f>(((U4-L4)*(H4^K4))/(J4))^(1/K4)</f>
        <v>3.8482971828272503</v>
      </c>
      <c r="R4" s="2">
        <f>(((L4^(((2*K4)+3)/3))*(H4^K4)*(1/J4))/((U4*M4)^(2*K4/3)))^(1/K4)</f>
        <v>5.4454537018329497E-3</v>
      </c>
      <c r="S4" s="2">
        <f>Q4/R4</f>
        <v>706.69909130471649</v>
      </c>
      <c r="T4" s="5">
        <f>(J4+(L4*H4/Q4))/U4</f>
        <v>2.5985519113815539E-2</v>
      </c>
      <c r="U4" s="5">
        <f>F4*G4*H4</f>
        <v>3924</v>
      </c>
      <c r="V4" s="2">
        <f>J4*((Q4/H4)^(K4))</f>
        <v>3848.2971828272503</v>
      </c>
      <c r="W4" s="2">
        <f>G4*Q4*Q4</f>
        <v>59237.564829424606</v>
      </c>
      <c r="X4" s="2">
        <f>U4/V4</f>
        <v>1.0196717700261217</v>
      </c>
      <c r="Y4" s="12">
        <f>L4/U4</f>
        <v>1.9292257179599901E-2</v>
      </c>
      <c r="Z4" s="2">
        <f>W4/U4</f>
        <v>15.09621937549047</v>
      </c>
      <c r="AA4" s="2">
        <f>W4/V4</f>
        <v>15.393188731309001</v>
      </c>
      <c r="AB4" s="2">
        <f>(X4*M4)^((1)/((2*K4)+3))</f>
        <v>1.0039037561672615</v>
      </c>
      <c r="AC4" s="2">
        <f>((1/Y4)*M4)^(1/3)</f>
        <v>3.72854153816417</v>
      </c>
      <c r="AD4" s="2">
        <f>((1/X4)*(1/M4))^((2)/((2*K4)+3))</f>
        <v>0.99223796879564952</v>
      </c>
      <c r="AE4" s="2">
        <f>((Y4)*(1/M4))^(2/3)</f>
        <v>7.1931982259084162E-2</v>
      </c>
    </row>
    <row r="5" spans="1:31" x14ac:dyDescent="0.3">
      <c r="A5" s="23" t="s">
        <v>36</v>
      </c>
      <c r="B5" s="1" t="s">
        <v>33</v>
      </c>
      <c r="C5" s="1">
        <v>2.47141909170095E-2</v>
      </c>
      <c r="D5" s="1">
        <v>0.76974564926372102</v>
      </c>
      <c r="F5" s="2">
        <v>9.81</v>
      </c>
      <c r="G5" s="2">
        <v>4000</v>
      </c>
      <c r="H5" s="18">
        <f t="shared" ref="H5:H36" si="2">100/1000</f>
        <v>0.1</v>
      </c>
      <c r="I5" s="2">
        <f t="shared" si="0"/>
        <v>0.05</v>
      </c>
      <c r="J5" s="2">
        <v>100</v>
      </c>
      <c r="K5" s="8">
        <v>1</v>
      </c>
      <c r="L5" s="2">
        <f>C5*U5</f>
        <v>96.978485158345279</v>
      </c>
      <c r="M5" s="4">
        <f t="shared" si="1"/>
        <v>1</v>
      </c>
      <c r="N5" s="2" t="s">
        <v>29</v>
      </c>
      <c r="O5" s="2" t="e">
        <f>N5-1</f>
        <v>#VALUE!</v>
      </c>
      <c r="P5" s="2">
        <f>1-D5</f>
        <v>0.23025435073627898</v>
      </c>
      <c r="Q5" s="2">
        <f>(((U5-L5)*(H5^K5))/(J5))^(1/K5)</f>
        <v>3.8270215148416549</v>
      </c>
      <c r="R5" s="2">
        <f t="shared" ref="R5:R68" si="3">(((L5^(((2*K5)+3)/3))*(H5^K5)*(1/J5))/((U5*M5)^(2*K5/3)))^(1/K5)</f>
        <v>8.2282281938778727E-3</v>
      </c>
      <c r="S5" s="2">
        <f t="shared" ref="S5:S68" si="4">Q5/R5</f>
        <v>465.10882108120313</v>
      </c>
      <c r="T5" s="5">
        <f t="shared" ref="T5:T68" si="5">(J5+(L5*H5/Q5))/U5</f>
        <v>2.6129981138644724E-2</v>
      </c>
      <c r="U5" s="5">
        <f t="shared" ref="U5:U68" si="6">F5*G5*H5</f>
        <v>3924</v>
      </c>
      <c r="V5" s="2">
        <f t="shared" ref="V5:V68" si="7">J5*((Q5/H5)^(K5))</f>
        <v>3827.0215148416546</v>
      </c>
      <c r="W5" s="2">
        <f t="shared" ref="W5:W68" si="8">G5*Q5*Q5</f>
        <v>58584.374700243665</v>
      </c>
      <c r="X5" s="2">
        <f t="shared" ref="X5:X68" si="9">U5/V5</f>
        <v>1.025340459880419</v>
      </c>
      <c r="Y5" s="12">
        <f t="shared" ref="Y5:Y68" si="10">L5/U5</f>
        <v>2.47141909170095E-2</v>
      </c>
      <c r="Z5" s="2">
        <f t="shared" ref="Z5:Z68" si="11">W5/U5</f>
        <v>14.929759097921423</v>
      </c>
      <c r="AA5" s="2">
        <f t="shared" ref="AA5:AA68" si="12">W5/V5</f>
        <v>15.308086059366621</v>
      </c>
      <c r="AB5" s="2">
        <f t="shared" ref="AB5:AB68" si="13">(X5*M5)^((1)/((2*K5)+3))</f>
        <v>1.0050174883309202</v>
      </c>
      <c r="AC5" s="2">
        <f t="shared" ref="AC5:AC68" si="14">((1/Y5)*M5)^(1/3)</f>
        <v>3.4330848257270326</v>
      </c>
      <c r="AD5" s="2">
        <f>((1/X5)*(1/M5))^((2)/((2*K5)+3))</f>
        <v>0.99004004679072277</v>
      </c>
      <c r="AE5" s="2">
        <f>((Y5)*(1/M5))^(2/3)</f>
        <v>8.4845913817306176E-2</v>
      </c>
    </row>
    <row r="6" spans="1:31" x14ac:dyDescent="0.3">
      <c r="A6" s="23" t="s">
        <v>36</v>
      </c>
      <c r="B6" s="1" t="s">
        <v>33</v>
      </c>
      <c r="C6" s="1">
        <v>2.9623043218383899E-2</v>
      </c>
      <c r="D6" s="1">
        <v>0.79250334672021405</v>
      </c>
      <c r="F6" s="2">
        <v>9.81</v>
      </c>
      <c r="G6" s="2">
        <v>4000</v>
      </c>
      <c r="H6" s="18">
        <f t="shared" si="2"/>
        <v>0.1</v>
      </c>
      <c r="I6" s="2">
        <f t="shared" si="0"/>
        <v>0.05</v>
      </c>
      <c r="J6" s="2">
        <v>100</v>
      </c>
      <c r="K6" s="8">
        <v>1</v>
      </c>
      <c r="L6" s="2">
        <f t="shared" ref="L6:L69" si="15">C6*U6</f>
        <v>116.24082158893842</v>
      </c>
      <c r="M6" s="4">
        <f t="shared" si="1"/>
        <v>1</v>
      </c>
      <c r="N6" s="2" t="s">
        <v>29</v>
      </c>
      <c r="O6" s="2" t="e">
        <f t="shared" ref="O6:O69" si="16">N6-1</f>
        <v>#VALUE!</v>
      </c>
      <c r="P6" s="2">
        <f t="shared" ref="P6:P69" si="17">1-D6</f>
        <v>0.20749665327978595</v>
      </c>
      <c r="Q6" s="2">
        <f t="shared" ref="Q6:Q69" si="18">(((U6-L6)*(H6^K6))/(J6))^(1/K6)</f>
        <v>3.8077591784110614</v>
      </c>
      <c r="R6" s="2">
        <f t="shared" si="3"/>
        <v>1.1128717523743952E-2</v>
      </c>
      <c r="S6" s="2">
        <f t="shared" si="4"/>
        <v>342.15615323930382</v>
      </c>
      <c r="T6" s="5">
        <f t="shared" si="5"/>
        <v>2.6262165046301317E-2</v>
      </c>
      <c r="U6" s="5">
        <f t="shared" si="6"/>
        <v>3924</v>
      </c>
      <c r="V6" s="2">
        <f t="shared" si="7"/>
        <v>3807.7591784110609</v>
      </c>
      <c r="W6" s="2">
        <f t="shared" si="8"/>
        <v>57996.119843094726</v>
      </c>
      <c r="X6" s="2">
        <f t="shared" si="9"/>
        <v>1.0305273564168638</v>
      </c>
      <c r="Y6" s="12">
        <f t="shared" si="10"/>
        <v>2.9623043218383899E-2</v>
      </c>
      <c r="Z6" s="2">
        <f t="shared" si="11"/>
        <v>14.779847054815169</v>
      </c>
      <c r="AA6" s="2">
        <f t="shared" si="12"/>
        <v>15.231036713644247</v>
      </c>
      <c r="AB6" s="2">
        <f t="shared" si="13"/>
        <v>1.0060322547581979</v>
      </c>
      <c r="AC6" s="2">
        <f t="shared" si="14"/>
        <v>3.2318915266696759</v>
      </c>
      <c r="AD6" s="2">
        <f t="shared" ref="AD6:AD69" si="19">((1/X6)*(1/M6))^((2)/((2*K6)+3))</f>
        <v>0.98804378333979082</v>
      </c>
      <c r="AE6" s="2">
        <f t="shared" ref="AE6:AE69" si="20">((Y6)*(1/M6))^(2/3)</f>
        <v>9.5738462371664529E-2</v>
      </c>
    </row>
    <row r="7" spans="1:31" x14ac:dyDescent="0.3">
      <c r="A7" s="23" t="s">
        <v>36</v>
      </c>
      <c r="B7" s="1" t="s">
        <v>33</v>
      </c>
      <c r="C7" s="1">
        <v>3.8989578650806503E-2</v>
      </c>
      <c r="D7" s="1">
        <v>0.75502008032128498</v>
      </c>
      <c r="F7" s="2">
        <v>9.81</v>
      </c>
      <c r="G7" s="2">
        <v>4000</v>
      </c>
      <c r="H7" s="18">
        <f t="shared" si="2"/>
        <v>0.1</v>
      </c>
      <c r="I7" s="2">
        <f t="shared" si="0"/>
        <v>0.05</v>
      </c>
      <c r="J7" s="2">
        <v>100</v>
      </c>
      <c r="K7" s="8">
        <v>1</v>
      </c>
      <c r="L7" s="2">
        <f t="shared" si="15"/>
        <v>152.99510662576472</v>
      </c>
      <c r="M7" s="4">
        <f t="shared" si="1"/>
        <v>1</v>
      </c>
      <c r="N7" s="2" t="s">
        <v>29</v>
      </c>
      <c r="O7" s="2" t="e">
        <f t="shared" si="16"/>
        <v>#VALUE!</v>
      </c>
      <c r="P7" s="2">
        <f t="shared" si="17"/>
        <v>0.24497991967871502</v>
      </c>
      <c r="Q7" s="2">
        <f t="shared" si="18"/>
        <v>3.7710048933742359</v>
      </c>
      <c r="R7" s="2">
        <f t="shared" si="3"/>
        <v>1.7591784728519133E-2</v>
      </c>
      <c r="S7" s="2">
        <f t="shared" si="4"/>
        <v>214.36170073527708</v>
      </c>
      <c r="T7" s="5">
        <f t="shared" si="5"/>
        <v>2.6518130532183316E-2</v>
      </c>
      <c r="U7" s="5">
        <f t="shared" si="6"/>
        <v>3924</v>
      </c>
      <c r="V7" s="2">
        <f t="shared" si="7"/>
        <v>3771.0048933742355</v>
      </c>
      <c r="W7" s="2">
        <f t="shared" si="8"/>
        <v>56881.911623409731</v>
      </c>
      <c r="X7" s="2">
        <f t="shared" si="9"/>
        <v>1.0405714420828733</v>
      </c>
      <c r="Y7" s="12">
        <f t="shared" si="10"/>
        <v>3.8989578650806503E-2</v>
      </c>
      <c r="Z7" s="2">
        <f t="shared" si="11"/>
        <v>14.495900005965783</v>
      </c>
      <c r="AA7" s="2">
        <f t="shared" si="12"/>
        <v>15.084019573496946</v>
      </c>
      <c r="AB7" s="2">
        <f t="shared" si="13"/>
        <v>1.0079857222949571</v>
      </c>
      <c r="AC7" s="2">
        <f t="shared" si="14"/>
        <v>2.9490614313994086</v>
      </c>
      <c r="AD7" s="2">
        <f t="shared" si="19"/>
        <v>0.9842178537786479</v>
      </c>
      <c r="AE7" s="2">
        <f t="shared" si="20"/>
        <v>0.11498266262560725</v>
      </c>
    </row>
    <row r="8" spans="1:31" x14ac:dyDescent="0.3">
      <c r="A8" s="23" t="s">
        <v>36</v>
      </c>
      <c r="B8" s="1" t="s">
        <v>33</v>
      </c>
      <c r="C8" s="1">
        <v>2.71952920332416E-2</v>
      </c>
      <c r="D8" s="1">
        <v>0.72690763052208796</v>
      </c>
      <c r="F8" s="2">
        <v>9.81</v>
      </c>
      <c r="G8" s="2">
        <v>4000</v>
      </c>
      <c r="H8" s="18">
        <f t="shared" si="2"/>
        <v>0.1</v>
      </c>
      <c r="I8" s="2">
        <f t="shared" si="0"/>
        <v>0.05</v>
      </c>
      <c r="J8" s="2">
        <v>100</v>
      </c>
      <c r="K8" s="8">
        <v>1</v>
      </c>
      <c r="L8" s="2">
        <f t="shared" si="15"/>
        <v>106.71432593844004</v>
      </c>
      <c r="M8" s="4">
        <f t="shared" si="1"/>
        <v>1</v>
      </c>
      <c r="N8" s="2" t="s">
        <v>29</v>
      </c>
      <c r="O8" s="2" t="e">
        <f t="shared" si="16"/>
        <v>#VALUE!</v>
      </c>
      <c r="P8" s="2">
        <f t="shared" si="17"/>
        <v>0.27309236947791204</v>
      </c>
      <c r="Q8" s="2">
        <f t="shared" si="18"/>
        <v>3.8172856740615599</v>
      </c>
      <c r="R8" s="2">
        <f t="shared" si="3"/>
        <v>9.6505458118111877E-3</v>
      </c>
      <c r="S8" s="2">
        <f t="shared" si="4"/>
        <v>395.55127228033359</v>
      </c>
      <c r="T8" s="5">
        <f t="shared" si="5"/>
        <v>2.6196624653873714E-2</v>
      </c>
      <c r="U8" s="5">
        <f t="shared" si="6"/>
        <v>3924</v>
      </c>
      <c r="V8" s="2">
        <f t="shared" si="7"/>
        <v>3817.2856740615598</v>
      </c>
      <c r="W8" s="2">
        <f t="shared" si="8"/>
        <v>58286.679669582467</v>
      </c>
      <c r="X8" s="2">
        <f t="shared" si="9"/>
        <v>1.0279555514180045</v>
      </c>
      <c r="Y8" s="12">
        <f t="shared" si="10"/>
        <v>2.71952920332416E-2</v>
      </c>
      <c r="Z8" s="2">
        <f t="shared" si="11"/>
        <v>14.853893901524584</v>
      </c>
      <c r="AA8" s="2">
        <f t="shared" si="12"/>
        <v>15.26914269624624</v>
      </c>
      <c r="AB8" s="2">
        <f t="shared" si="13"/>
        <v>1.0055296178459503</v>
      </c>
      <c r="AC8" s="2">
        <f t="shared" si="14"/>
        <v>3.3253351606552362</v>
      </c>
      <c r="AD8" s="2">
        <f t="shared" si="19"/>
        <v>0.98903182266323253</v>
      </c>
      <c r="AE8" s="2">
        <f t="shared" si="20"/>
        <v>9.0433460802425536E-2</v>
      </c>
    </row>
    <row r="9" spans="1:31" x14ac:dyDescent="0.3">
      <c r="A9" s="23" t="s">
        <v>36</v>
      </c>
      <c r="B9" s="1" t="s">
        <v>33</v>
      </c>
      <c r="C9" s="1">
        <v>4.14831939484053E-2</v>
      </c>
      <c r="D9" s="1">
        <v>0.686746987951807</v>
      </c>
      <c r="F9" s="2">
        <v>9.81</v>
      </c>
      <c r="G9" s="2">
        <v>4000</v>
      </c>
      <c r="H9" s="18">
        <f t="shared" si="2"/>
        <v>0.1</v>
      </c>
      <c r="I9" s="2">
        <f t="shared" si="0"/>
        <v>0.05</v>
      </c>
      <c r="J9" s="2">
        <v>100</v>
      </c>
      <c r="K9" s="8">
        <v>1</v>
      </c>
      <c r="L9" s="2">
        <f t="shared" si="15"/>
        <v>162.78005305354239</v>
      </c>
      <c r="M9" s="4">
        <f t="shared" si="1"/>
        <v>1</v>
      </c>
      <c r="N9" s="2" t="s">
        <v>29</v>
      </c>
      <c r="O9" s="2" t="e">
        <f t="shared" si="16"/>
        <v>#VALUE!</v>
      </c>
      <c r="P9" s="2">
        <f t="shared" si="17"/>
        <v>0.313253012048193</v>
      </c>
      <c r="Q9" s="2">
        <f t="shared" si="18"/>
        <v>3.7612199469464578</v>
      </c>
      <c r="R9" s="2">
        <f t="shared" si="3"/>
        <v>1.9506647844569593E-2</v>
      </c>
      <c r="S9" s="2">
        <f t="shared" si="4"/>
        <v>192.8173398585003</v>
      </c>
      <c r="T9" s="5">
        <f t="shared" si="5"/>
        <v>2.6587118384604147E-2</v>
      </c>
      <c r="U9" s="5">
        <f t="shared" si="6"/>
        <v>3924</v>
      </c>
      <c r="V9" s="2">
        <f t="shared" si="7"/>
        <v>3761.2199469464576</v>
      </c>
      <c r="W9" s="2">
        <f t="shared" si="8"/>
        <v>56587.101957231658</v>
      </c>
      <c r="X9" s="2">
        <f t="shared" si="9"/>
        <v>1.0432785254118668</v>
      </c>
      <c r="Y9" s="12">
        <f t="shared" si="10"/>
        <v>4.14831939484053E-2</v>
      </c>
      <c r="Z9" s="2">
        <f t="shared" si="11"/>
        <v>14.42077012161867</v>
      </c>
      <c r="AA9" s="2">
        <f t="shared" si="12"/>
        <v>15.044879787785831</v>
      </c>
      <c r="AB9" s="2">
        <f t="shared" si="13"/>
        <v>1.0085096394684503</v>
      </c>
      <c r="AC9" s="2">
        <f t="shared" si="14"/>
        <v>2.8887454271559911</v>
      </c>
      <c r="AD9" s="2">
        <f t="shared" si="19"/>
        <v>0.98319552404165489</v>
      </c>
      <c r="AE9" s="2">
        <f t="shared" si="20"/>
        <v>0.1198343868222809</v>
      </c>
    </row>
    <row r="10" spans="1:31" x14ac:dyDescent="0.3">
      <c r="A10" s="23" t="s">
        <v>36</v>
      </c>
      <c r="B10" s="1" t="s">
        <v>33</v>
      </c>
      <c r="C10" s="1">
        <v>5.23125713184842E-2</v>
      </c>
      <c r="D10" s="1">
        <v>0.67603748326639901</v>
      </c>
      <c r="F10" s="2">
        <v>9.81</v>
      </c>
      <c r="G10" s="2">
        <v>4000</v>
      </c>
      <c r="H10" s="18">
        <f t="shared" si="2"/>
        <v>0.1</v>
      </c>
      <c r="I10" s="2">
        <f t="shared" si="0"/>
        <v>0.05</v>
      </c>
      <c r="J10" s="2">
        <v>100</v>
      </c>
      <c r="K10" s="8">
        <v>1</v>
      </c>
      <c r="L10" s="2">
        <f t="shared" si="15"/>
        <v>205.27452985373199</v>
      </c>
      <c r="M10" s="4">
        <f t="shared" si="1"/>
        <v>1</v>
      </c>
      <c r="N10" s="2" t="s">
        <v>29</v>
      </c>
      <c r="O10" s="2" t="e">
        <f t="shared" si="16"/>
        <v>#VALUE!</v>
      </c>
      <c r="P10" s="2">
        <f t="shared" si="17"/>
        <v>0.32396251673360099</v>
      </c>
      <c r="Q10" s="2">
        <f t="shared" si="18"/>
        <v>3.7187254701462682</v>
      </c>
      <c r="R10" s="2">
        <f t="shared" si="3"/>
        <v>2.8712594951674542E-2</v>
      </c>
      <c r="S10" s="2">
        <f t="shared" si="4"/>
        <v>129.51547836080866</v>
      </c>
      <c r="T10" s="5">
        <f t="shared" si="5"/>
        <v>2.6890933682196961E-2</v>
      </c>
      <c r="U10" s="5">
        <f t="shared" si="6"/>
        <v>3924</v>
      </c>
      <c r="V10" s="2">
        <f t="shared" si="7"/>
        <v>3718.725470146268</v>
      </c>
      <c r="W10" s="2">
        <f t="shared" si="8"/>
        <v>55315.676489258331</v>
      </c>
      <c r="X10" s="2">
        <f t="shared" si="9"/>
        <v>1.0552002376894087</v>
      </c>
      <c r="Y10" s="12">
        <f t="shared" si="10"/>
        <v>5.23125713184842E-2</v>
      </c>
      <c r="Z10" s="2">
        <f t="shared" si="11"/>
        <v>14.096757515101512</v>
      </c>
      <c r="AA10" s="2">
        <f t="shared" si="12"/>
        <v>14.874901880585073</v>
      </c>
      <c r="AB10" s="2">
        <f t="shared" si="13"/>
        <v>1.0108040563519247</v>
      </c>
      <c r="AC10" s="2">
        <f t="shared" si="14"/>
        <v>2.6738147261869334</v>
      </c>
      <c r="AD10" s="2">
        <f t="shared" si="19"/>
        <v>0.97873709292383593</v>
      </c>
      <c r="AE10" s="2">
        <f t="shared" si="20"/>
        <v>0.13987412355606726</v>
      </c>
    </row>
    <row r="11" spans="1:31" x14ac:dyDescent="0.3">
      <c r="A11" s="23" t="s">
        <v>36</v>
      </c>
      <c r="B11" s="1" t="s">
        <v>33</v>
      </c>
      <c r="C11" s="1">
        <v>5.4764692225235501E-2</v>
      </c>
      <c r="D11" s="1">
        <v>0.69210174029451099</v>
      </c>
      <c r="F11" s="2">
        <v>9.81</v>
      </c>
      <c r="G11" s="2">
        <v>4000</v>
      </c>
      <c r="H11" s="18">
        <f t="shared" si="2"/>
        <v>0.1</v>
      </c>
      <c r="I11" s="2">
        <f t="shared" si="0"/>
        <v>0.05</v>
      </c>
      <c r="J11" s="2">
        <v>100</v>
      </c>
      <c r="K11" s="8">
        <v>1</v>
      </c>
      <c r="L11" s="2">
        <f t="shared" si="15"/>
        <v>214.8966522918241</v>
      </c>
      <c r="M11" s="4">
        <f t="shared" si="1"/>
        <v>1</v>
      </c>
      <c r="N11" s="2" t="s">
        <v>29</v>
      </c>
      <c r="O11" s="2" t="e">
        <f t="shared" si="16"/>
        <v>#VALUE!</v>
      </c>
      <c r="P11" s="2">
        <f t="shared" si="17"/>
        <v>0.30789825970548901</v>
      </c>
      <c r="Q11" s="2">
        <f t="shared" si="18"/>
        <v>3.7091033477081758</v>
      </c>
      <c r="R11" s="2">
        <f t="shared" si="3"/>
        <v>3.0990607109961286E-2</v>
      </c>
      <c r="S11" s="2">
        <f t="shared" si="4"/>
        <v>119.68475914484301</v>
      </c>
      <c r="T11" s="5">
        <f t="shared" si="5"/>
        <v>2.6960693899723547E-2</v>
      </c>
      <c r="U11" s="5">
        <f t="shared" si="6"/>
        <v>3924</v>
      </c>
      <c r="V11" s="2">
        <f t="shared" si="7"/>
        <v>3709.103347708176</v>
      </c>
      <c r="W11" s="2">
        <f t="shared" si="8"/>
        <v>55029.790575919993</v>
      </c>
      <c r="X11" s="2">
        <f t="shared" si="9"/>
        <v>1.0579376286251518</v>
      </c>
      <c r="Y11" s="12">
        <f t="shared" si="10"/>
        <v>5.4764692225235501E-2</v>
      </c>
      <c r="Z11" s="2">
        <f t="shared" si="11"/>
        <v>14.023901777757388</v>
      </c>
      <c r="AA11" s="2">
        <f t="shared" si="12"/>
        <v>14.836413390832703</v>
      </c>
      <c r="AB11" s="2">
        <f t="shared" si="13"/>
        <v>1.0113279567470881</v>
      </c>
      <c r="AC11" s="2">
        <f t="shared" si="14"/>
        <v>2.6332966273142628</v>
      </c>
      <c r="AD11" s="2">
        <f t="shared" si="19"/>
        <v>0.97772332101523363</v>
      </c>
      <c r="AE11" s="2">
        <f t="shared" si="20"/>
        <v>0.14421167933261633</v>
      </c>
    </row>
    <row r="12" spans="1:31" x14ac:dyDescent="0.3">
      <c r="A12" s="23" t="s">
        <v>36</v>
      </c>
      <c r="B12" s="1" t="s">
        <v>33</v>
      </c>
      <c r="C12" s="1">
        <v>3.4128807151525303E-2</v>
      </c>
      <c r="D12" s="1">
        <v>0.634538152610441</v>
      </c>
      <c r="F12" s="2">
        <v>9.81</v>
      </c>
      <c r="G12" s="2">
        <v>4000</v>
      </c>
      <c r="H12" s="18">
        <f t="shared" si="2"/>
        <v>0.1</v>
      </c>
      <c r="I12" s="2">
        <f t="shared" si="0"/>
        <v>0.05</v>
      </c>
      <c r="J12" s="2">
        <v>100</v>
      </c>
      <c r="K12" s="8">
        <v>1</v>
      </c>
      <c r="L12" s="2">
        <f t="shared" si="15"/>
        <v>133.9214392625853</v>
      </c>
      <c r="M12" s="4">
        <f t="shared" si="1"/>
        <v>1</v>
      </c>
      <c r="N12" s="2" t="s">
        <v>29</v>
      </c>
      <c r="O12" s="2" t="e">
        <f t="shared" si="16"/>
        <v>#VALUE!</v>
      </c>
      <c r="P12" s="2">
        <f t="shared" si="17"/>
        <v>0.365461847389559</v>
      </c>
      <c r="Q12" s="2">
        <f t="shared" si="18"/>
        <v>3.790078560737415</v>
      </c>
      <c r="R12" s="2">
        <f t="shared" si="3"/>
        <v>1.4090644163608628E-2</v>
      </c>
      <c r="S12" s="2">
        <f t="shared" si="4"/>
        <v>268.97837435465919</v>
      </c>
      <c r="T12" s="5">
        <f t="shared" si="5"/>
        <v>2.6384677361554094E-2</v>
      </c>
      <c r="U12" s="5">
        <f t="shared" si="6"/>
        <v>3924</v>
      </c>
      <c r="V12" s="2">
        <f t="shared" si="7"/>
        <v>3790.0785607374146</v>
      </c>
      <c r="W12" s="2">
        <f t="shared" si="8"/>
        <v>57458.78198624558</v>
      </c>
      <c r="X12" s="2">
        <f t="shared" si="9"/>
        <v>1.0353347396673829</v>
      </c>
      <c r="Y12" s="12">
        <f t="shared" si="10"/>
        <v>3.4128807151525303E-2</v>
      </c>
      <c r="Z12" s="2">
        <f t="shared" si="11"/>
        <v>14.642910801795511</v>
      </c>
      <c r="AA12" s="2">
        <f t="shared" si="12"/>
        <v>15.160314242949662</v>
      </c>
      <c r="AB12" s="2">
        <f t="shared" si="13"/>
        <v>1.0069691310320905</v>
      </c>
      <c r="AC12" s="2">
        <f t="shared" si="14"/>
        <v>3.0829013662421492</v>
      </c>
      <c r="AD12" s="2">
        <f t="shared" si="19"/>
        <v>0.98620610206566717</v>
      </c>
      <c r="AE12" s="2">
        <f t="shared" si="20"/>
        <v>0.10521574619565222</v>
      </c>
    </row>
    <row r="13" spans="1:31" x14ac:dyDescent="0.3">
      <c r="A13" s="23" t="s">
        <v>36</v>
      </c>
      <c r="B13" s="1" t="s">
        <v>33</v>
      </c>
      <c r="C13" s="1">
        <v>4.1020169237836898E-2</v>
      </c>
      <c r="D13" s="1">
        <v>0.62784471218206095</v>
      </c>
      <c r="F13" s="2">
        <v>9.81</v>
      </c>
      <c r="G13" s="2">
        <v>4000</v>
      </c>
      <c r="H13" s="18">
        <f t="shared" si="2"/>
        <v>0.1</v>
      </c>
      <c r="I13" s="2">
        <f t="shared" si="0"/>
        <v>0.05</v>
      </c>
      <c r="J13" s="2">
        <v>100</v>
      </c>
      <c r="K13" s="8">
        <v>1</v>
      </c>
      <c r="L13" s="2">
        <f t="shared" si="15"/>
        <v>160.96314408927199</v>
      </c>
      <c r="M13" s="4">
        <f t="shared" si="1"/>
        <v>1</v>
      </c>
      <c r="N13" s="2" t="s">
        <v>29</v>
      </c>
      <c r="O13" s="2" t="e">
        <f t="shared" si="16"/>
        <v>#VALUE!</v>
      </c>
      <c r="P13" s="2">
        <f t="shared" si="17"/>
        <v>0.37215528781793905</v>
      </c>
      <c r="Q13" s="2">
        <f t="shared" si="18"/>
        <v>3.7630368559107281</v>
      </c>
      <c r="R13" s="2">
        <f t="shared" si="3"/>
        <v>1.9145119364557098E-2</v>
      </c>
      <c r="S13" s="2">
        <f t="shared" si="4"/>
        <v>196.55332433586955</v>
      </c>
      <c r="T13" s="5">
        <f t="shared" si="5"/>
        <v>2.6574281312957821E-2</v>
      </c>
      <c r="U13" s="5">
        <f t="shared" si="6"/>
        <v>3924</v>
      </c>
      <c r="V13" s="2">
        <f t="shared" si="7"/>
        <v>3763.0368559107283</v>
      </c>
      <c r="W13" s="2">
        <f t="shared" si="8"/>
        <v>56641.785515769996</v>
      </c>
      <c r="X13" s="2">
        <f t="shared" si="9"/>
        <v>1.0427747987204647</v>
      </c>
      <c r="Y13" s="12">
        <f t="shared" si="10"/>
        <v>4.1020169237836898E-2</v>
      </c>
      <c r="Z13" s="2">
        <f t="shared" si="11"/>
        <v>14.434705788932211</v>
      </c>
      <c r="AA13" s="2">
        <f t="shared" si="12"/>
        <v>15.052147423642912</v>
      </c>
      <c r="AB13" s="2">
        <f t="shared" si="13"/>
        <v>1.0084122328117036</v>
      </c>
      <c r="AC13" s="2">
        <f t="shared" si="14"/>
        <v>2.8995739146131552</v>
      </c>
      <c r="AD13" s="2">
        <f t="shared" si="19"/>
        <v>0.98338547495896156</v>
      </c>
      <c r="AE13" s="2">
        <f t="shared" si="20"/>
        <v>0.11894101269504886</v>
      </c>
    </row>
    <row r="14" spans="1:31" x14ac:dyDescent="0.3">
      <c r="A14" s="23" t="s">
        <v>36</v>
      </c>
      <c r="B14" s="1" t="s">
        <v>33</v>
      </c>
      <c r="C14" s="1">
        <v>4.8407488090945097E-2</v>
      </c>
      <c r="D14" s="1">
        <v>0.61311914323962502</v>
      </c>
      <c r="F14" s="2">
        <v>9.81</v>
      </c>
      <c r="G14" s="2">
        <v>4000</v>
      </c>
      <c r="H14" s="18">
        <f t="shared" si="2"/>
        <v>0.1</v>
      </c>
      <c r="I14" s="2">
        <f t="shared" si="0"/>
        <v>0.05</v>
      </c>
      <c r="J14" s="2">
        <v>100</v>
      </c>
      <c r="K14" s="8">
        <v>1</v>
      </c>
      <c r="L14" s="2">
        <f t="shared" si="15"/>
        <v>189.95098326886855</v>
      </c>
      <c r="M14" s="4">
        <f t="shared" si="1"/>
        <v>1</v>
      </c>
      <c r="N14" s="2" t="s">
        <v>29</v>
      </c>
      <c r="O14" s="2" t="e">
        <f t="shared" si="16"/>
        <v>#VALUE!</v>
      </c>
      <c r="P14" s="2">
        <f t="shared" si="17"/>
        <v>0.38688085676037498</v>
      </c>
      <c r="Q14" s="2">
        <f t="shared" si="18"/>
        <v>3.7340490167311318</v>
      </c>
      <c r="R14" s="2">
        <f t="shared" si="3"/>
        <v>2.5229960902608477E-2</v>
      </c>
      <c r="S14" s="2">
        <f t="shared" si="4"/>
        <v>148.00058672881556</v>
      </c>
      <c r="T14" s="5">
        <f t="shared" si="5"/>
        <v>2.6780580424073327E-2</v>
      </c>
      <c r="U14" s="5">
        <f t="shared" si="6"/>
        <v>3924</v>
      </c>
      <c r="V14" s="2">
        <f t="shared" si="7"/>
        <v>3734.0490167311318</v>
      </c>
      <c r="W14" s="2">
        <f t="shared" si="8"/>
        <v>55772.488237402926</v>
      </c>
      <c r="X14" s="2">
        <f t="shared" si="9"/>
        <v>1.0508699758406372</v>
      </c>
      <c r="Y14" s="12">
        <f t="shared" si="10"/>
        <v>4.8407488090945097E-2</v>
      </c>
      <c r="Z14" s="2">
        <f t="shared" si="11"/>
        <v>14.213172333690858</v>
      </c>
      <c r="AA14" s="2">
        <f t="shared" si="12"/>
        <v>14.936196066924527</v>
      </c>
      <c r="AB14" s="2">
        <f t="shared" si="13"/>
        <v>1.009973076842676</v>
      </c>
      <c r="AC14" s="2">
        <f t="shared" si="14"/>
        <v>2.7438633842257905</v>
      </c>
      <c r="AD14" s="2">
        <f t="shared" si="19"/>
        <v>0.98034831419921309</v>
      </c>
      <c r="AE14" s="2">
        <f t="shared" si="20"/>
        <v>0.13282353409509026</v>
      </c>
    </row>
    <row r="15" spans="1:31" x14ac:dyDescent="0.3">
      <c r="A15" s="23" t="s">
        <v>36</v>
      </c>
      <c r="B15" s="1" t="s">
        <v>33</v>
      </c>
      <c r="C15" s="1">
        <v>5.5773730428067297E-2</v>
      </c>
      <c r="D15" s="1">
        <v>0.64123159303882205</v>
      </c>
      <c r="F15" s="2">
        <v>9.81</v>
      </c>
      <c r="G15" s="2">
        <v>4000</v>
      </c>
      <c r="H15" s="18">
        <f t="shared" si="2"/>
        <v>0.1</v>
      </c>
      <c r="I15" s="2">
        <f t="shared" si="0"/>
        <v>0.05</v>
      </c>
      <c r="J15" s="2">
        <v>100</v>
      </c>
      <c r="K15" s="8">
        <v>1</v>
      </c>
      <c r="L15" s="2">
        <f t="shared" si="15"/>
        <v>218.85611819973607</v>
      </c>
      <c r="M15" s="4">
        <f t="shared" si="1"/>
        <v>1</v>
      </c>
      <c r="N15" s="2" t="s">
        <v>29</v>
      </c>
      <c r="O15" s="2" t="e">
        <f t="shared" si="16"/>
        <v>#VALUE!</v>
      </c>
      <c r="P15" s="2">
        <f t="shared" si="17"/>
        <v>0.35876840696117795</v>
      </c>
      <c r="Q15" s="2">
        <f t="shared" si="18"/>
        <v>3.705143881800264</v>
      </c>
      <c r="R15" s="2">
        <f t="shared" si="3"/>
        <v>3.1948108755015379E-2</v>
      </c>
      <c r="S15" s="2">
        <f t="shared" si="4"/>
        <v>115.97380959893631</v>
      </c>
      <c r="T15" s="5">
        <f t="shared" si="5"/>
        <v>2.6989505182565748E-2</v>
      </c>
      <c r="U15" s="5">
        <f t="shared" si="6"/>
        <v>3924</v>
      </c>
      <c r="V15" s="2">
        <f t="shared" si="7"/>
        <v>3705.1438818002639</v>
      </c>
      <c r="W15" s="2">
        <f t="shared" si="8"/>
        <v>54912.364739367717</v>
      </c>
      <c r="X15" s="2">
        <f t="shared" si="9"/>
        <v>1.05906818336388</v>
      </c>
      <c r="Y15" s="12">
        <f t="shared" si="10"/>
        <v>5.5773730428067297E-2</v>
      </c>
      <c r="Z15" s="2">
        <f t="shared" si="11"/>
        <v>13.993976742958134</v>
      </c>
      <c r="AA15" s="2">
        <f t="shared" si="12"/>
        <v>14.820575527201058</v>
      </c>
      <c r="AB15" s="2">
        <f t="shared" si="13"/>
        <v>1.011544013565415</v>
      </c>
      <c r="AC15" s="2">
        <f t="shared" si="14"/>
        <v>2.6173196692031482</v>
      </c>
      <c r="AD15" s="2">
        <f t="shared" si="19"/>
        <v>0.97730569958262914</v>
      </c>
      <c r="AE15" s="2">
        <f t="shared" si="20"/>
        <v>0.14597768167421468</v>
      </c>
    </row>
    <row r="16" spans="1:31" x14ac:dyDescent="0.3">
      <c r="A16" s="23" t="s">
        <v>36</v>
      </c>
      <c r="B16" s="1" t="s">
        <v>33</v>
      </c>
      <c r="C16" s="1">
        <v>6.9563041011936194E-2</v>
      </c>
      <c r="D16" s="1">
        <v>0.61445783132530096</v>
      </c>
      <c r="F16" s="2">
        <v>9.81</v>
      </c>
      <c r="G16" s="2">
        <v>4000</v>
      </c>
      <c r="H16" s="18">
        <f t="shared" si="2"/>
        <v>0.1</v>
      </c>
      <c r="I16" s="2">
        <f t="shared" si="0"/>
        <v>0.05</v>
      </c>
      <c r="J16" s="2">
        <v>100</v>
      </c>
      <c r="K16" s="8">
        <v>1</v>
      </c>
      <c r="L16" s="2">
        <f t="shared" si="15"/>
        <v>272.96537293083765</v>
      </c>
      <c r="M16" s="4">
        <f t="shared" si="1"/>
        <v>1</v>
      </c>
      <c r="N16" s="2" t="s">
        <v>29</v>
      </c>
      <c r="O16" s="2" t="e">
        <f t="shared" si="16"/>
        <v>#VALUE!</v>
      </c>
      <c r="P16" s="2">
        <f t="shared" si="17"/>
        <v>0.38554216867469904</v>
      </c>
      <c r="Q16" s="2">
        <f t="shared" si="18"/>
        <v>3.6510346270691629</v>
      </c>
      <c r="R16" s="2">
        <f t="shared" si="3"/>
        <v>4.6170005992372587E-2</v>
      </c>
      <c r="S16" s="2">
        <f t="shared" si="4"/>
        <v>79.07806266415308</v>
      </c>
      <c r="T16" s="5">
        <f t="shared" si="5"/>
        <v>2.7389496461794494E-2</v>
      </c>
      <c r="U16" s="5">
        <f t="shared" si="6"/>
        <v>3924</v>
      </c>
      <c r="V16" s="2">
        <f t="shared" si="7"/>
        <v>3651.0346270691625</v>
      </c>
      <c r="W16" s="2">
        <f t="shared" si="8"/>
        <v>53320.215392232247</v>
      </c>
      <c r="X16" s="2">
        <f t="shared" si="9"/>
        <v>1.0747638411608158</v>
      </c>
      <c r="Y16" s="12">
        <f t="shared" si="10"/>
        <v>6.9563041011936194E-2</v>
      </c>
      <c r="Z16" s="2">
        <f t="shared" si="11"/>
        <v>13.588230222281409</v>
      </c>
      <c r="AA16" s="2">
        <f t="shared" si="12"/>
        <v>14.604138508276653</v>
      </c>
      <c r="AB16" s="2">
        <f t="shared" si="13"/>
        <v>1.0145246634818308</v>
      </c>
      <c r="AC16" s="2">
        <f t="shared" si="14"/>
        <v>2.4314974226446946</v>
      </c>
      <c r="AD16" s="2">
        <f t="shared" si="19"/>
        <v>0.97157153247119354</v>
      </c>
      <c r="AE16" s="2">
        <f t="shared" si="20"/>
        <v>0.16914235493185006</v>
      </c>
    </row>
    <row r="17" spans="1:31" x14ac:dyDescent="0.3">
      <c r="A17" s="23" t="s">
        <v>36</v>
      </c>
      <c r="B17" s="1" t="s">
        <v>33</v>
      </c>
      <c r="C17" s="1">
        <v>7.5485542004014403E-2</v>
      </c>
      <c r="D17" s="1">
        <v>0.576974564926372</v>
      </c>
      <c r="F17" s="2">
        <v>9.81</v>
      </c>
      <c r="G17" s="2">
        <v>4000</v>
      </c>
      <c r="H17" s="18">
        <f t="shared" si="2"/>
        <v>0.1</v>
      </c>
      <c r="I17" s="2">
        <f t="shared" si="0"/>
        <v>0.05</v>
      </c>
      <c r="J17" s="2">
        <v>100</v>
      </c>
      <c r="K17" s="8">
        <v>1</v>
      </c>
      <c r="L17" s="2">
        <f t="shared" si="15"/>
        <v>296.20526682375254</v>
      </c>
      <c r="M17" s="4">
        <f t="shared" si="1"/>
        <v>1</v>
      </c>
      <c r="N17" s="2" t="s">
        <v>29</v>
      </c>
      <c r="O17" s="2" t="e">
        <f t="shared" si="16"/>
        <v>#VALUE!</v>
      </c>
      <c r="P17" s="2">
        <f t="shared" si="17"/>
        <v>0.423025435073628</v>
      </c>
      <c r="Q17" s="2">
        <f t="shared" si="18"/>
        <v>3.6277947331762475</v>
      </c>
      <c r="R17" s="2">
        <f t="shared" si="3"/>
        <v>5.2905638681561694E-2</v>
      </c>
      <c r="S17" s="2">
        <f t="shared" si="4"/>
        <v>68.571041264843117</v>
      </c>
      <c r="T17" s="5">
        <f t="shared" si="5"/>
        <v>2.7564955394388285E-2</v>
      </c>
      <c r="U17" s="5">
        <f t="shared" si="6"/>
        <v>3924</v>
      </c>
      <c r="V17" s="2">
        <f t="shared" si="7"/>
        <v>3627.7947331762471</v>
      </c>
      <c r="W17" s="2">
        <f t="shared" si="8"/>
        <v>52643.578504245284</v>
      </c>
      <c r="X17" s="2">
        <f t="shared" si="9"/>
        <v>1.0816488496757963</v>
      </c>
      <c r="Y17" s="12">
        <f t="shared" si="10"/>
        <v>7.5485542004014403E-2</v>
      </c>
      <c r="Z17" s="2">
        <f t="shared" si="11"/>
        <v>13.415794725852519</v>
      </c>
      <c r="AA17" s="2">
        <f t="shared" si="12"/>
        <v>14.511178932704992</v>
      </c>
      <c r="AB17" s="2">
        <f t="shared" si="13"/>
        <v>1.0158211679958564</v>
      </c>
      <c r="AC17" s="2">
        <f t="shared" si="14"/>
        <v>2.366167077859465</v>
      </c>
      <c r="AD17" s="2">
        <f t="shared" si="19"/>
        <v>0.96909305876708152</v>
      </c>
      <c r="AE17" s="2">
        <f t="shared" si="20"/>
        <v>0.17861140434427666</v>
      </c>
    </row>
    <row r="18" spans="1:31" x14ac:dyDescent="0.3">
      <c r="A18" s="23" t="s">
        <v>36</v>
      </c>
      <c r="B18" s="1" t="s">
        <v>33</v>
      </c>
      <c r="C18" s="1">
        <v>6.4169428842882806E-2</v>
      </c>
      <c r="D18" s="1">
        <v>0.576974564926372</v>
      </c>
      <c r="F18" s="2">
        <v>9.81</v>
      </c>
      <c r="G18" s="2">
        <v>4000</v>
      </c>
      <c r="H18" s="18">
        <f t="shared" si="2"/>
        <v>0.1</v>
      </c>
      <c r="I18" s="2">
        <f t="shared" si="0"/>
        <v>0.05</v>
      </c>
      <c r="J18" s="2">
        <v>100</v>
      </c>
      <c r="K18" s="8">
        <v>1</v>
      </c>
      <c r="L18" s="2">
        <f t="shared" si="15"/>
        <v>251.80083877947212</v>
      </c>
      <c r="M18" s="4">
        <f t="shared" si="1"/>
        <v>1</v>
      </c>
      <c r="N18" s="2" t="s">
        <v>29</v>
      </c>
      <c r="O18" s="2" t="e">
        <f t="shared" si="16"/>
        <v>#VALUE!</v>
      </c>
      <c r="P18" s="2">
        <f t="shared" si="17"/>
        <v>0.423025435073628</v>
      </c>
      <c r="Q18" s="2">
        <f t="shared" si="18"/>
        <v>3.6721991612205285</v>
      </c>
      <c r="R18" s="2">
        <f t="shared" si="3"/>
        <v>4.0359206743638E-2</v>
      </c>
      <c r="S18" s="2">
        <f t="shared" si="4"/>
        <v>90.987892416874459</v>
      </c>
      <c r="T18" s="5">
        <f t="shared" si="5"/>
        <v>2.7231638484107441E-2</v>
      </c>
      <c r="U18" s="5">
        <f t="shared" si="6"/>
        <v>3924</v>
      </c>
      <c r="V18" s="2">
        <f t="shared" si="7"/>
        <v>3672.1991612205279</v>
      </c>
      <c r="W18" s="2">
        <f t="shared" si="8"/>
        <v>53940.18671867501</v>
      </c>
      <c r="X18" s="2">
        <f t="shared" si="9"/>
        <v>1.0685694941163761</v>
      </c>
      <c r="Y18" s="12">
        <f t="shared" si="10"/>
        <v>6.4169428842882806E-2</v>
      </c>
      <c r="Z18" s="2">
        <f t="shared" si="11"/>
        <v>13.746224953790778</v>
      </c>
      <c r="AA18" s="2">
        <f t="shared" si="12"/>
        <v>14.688796644882116</v>
      </c>
      <c r="AB18" s="2">
        <f t="shared" si="13"/>
        <v>1.0133525258174643</v>
      </c>
      <c r="AC18" s="2">
        <f t="shared" si="14"/>
        <v>2.4977977807941798</v>
      </c>
      <c r="AD18" s="2">
        <f t="shared" si="19"/>
        <v>0.97382045214673163</v>
      </c>
      <c r="AE18" s="2">
        <f t="shared" si="20"/>
        <v>0.16028225695858273</v>
      </c>
    </row>
    <row r="19" spans="1:31" x14ac:dyDescent="0.3">
      <c r="A19" s="23" t="s">
        <v>36</v>
      </c>
      <c r="B19" s="1" t="s">
        <v>33</v>
      </c>
      <c r="C19" s="1">
        <v>5.6793306888892101E-2</v>
      </c>
      <c r="D19" s="1">
        <v>0.56894243641231601</v>
      </c>
      <c r="F19" s="2">
        <v>9.81</v>
      </c>
      <c r="G19" s="2">
        <v>4000</v>
      </c>
      <c r="H19" s="18">
        <f t="shared" si="2"/>
        <v>0.1</v>
      </c>
      <c r="I19" s="2">
        <f t="shared" si="0"/>
        <v>0.05</v>
      </c>
      <c r="J19" s="2">
        <v>100</v>
      </c>
      <c r="K19" s="8">
        <v>1</v>
      </c>
      <c r="L19" s="2">
        <f t="shared" si="15"/>
        <v>222.8569362320126</v>
      </c>
      <c r="M19" s="4">
        <f t="shared" si="1"/>
        <v>1</v>
      </c>
      <c r="N19" s="2" t="s">
        <v>29</v>
      </c>
      <c r="O19" s="2" t="e">
        <f t="shared" si="16"/>
        <v>#VALUE!</v>
      </c>
      <c r="P19" s="2">
        <f t="shared" si="17"/>
        <v>0.43105756358768399</v>
      </c>
      <c r="Q19" s="2">
        <f t="shared" si="18"/>
        <v>3.7011430637679879</v>
      </c>
      <c r="R19" s="2">
        <f t="shared" si="3"/>
        <v>3.2927411689389528E-2</v>
      </c>
      <c r="S19" s="2">
        <f t="shared" si="4"/>
        <v>112.40309741565984</v>
      </c>
      <c r="T19" s="5">
        <f t="shared" si="5"/>
        <v>2.7018679979961095E-2</v>
      </c>
      <c r="U19" s="5">
        <f t="shared" si="6"/>
        <v>3924</v>
      </c>
      <c r="V19" s="2">
        <f t="shared" si="7"/>
        <v>3701.1430637679878</v>
      </c>
      <c r="W19" s="2">
        <f t="shared" si="8"/>
        <v>54793.83991391155</v>
      </c>
      <c r="X19" s="2">
        <f t="shared" si="9"/>
        <v>1.0602130024136733</v>
      </c>
      <c r="Y19" s="12">
        <f t="shared" si="10"/>
        <v>5.6793306888892101E-2</v>
      </c>
      <c r="Z19" s="2">
        <f t="shared" si="11"/>
        <v>13.963771639630874</v>
      </c>
      <c r="AA19" s="2">
        <f t="shared" si="12"/>
        <v>14.804572255071951</v>
      </c>
      <c r="AB19" s="2">
        <f t="shared" si="13"/>
        <v>1.0117626084546916</v>
      </c>
      <c r="AC19" s="2">
        <f t="shared" si="14"/>
        <v>2.6015626027434924</v>
      </c>
      <c r="AD19" s="2">
        <f t="shared" si="19"/>
        <v>0.97688344449786768</v>
      </c>
      <c r="AE19" s="2">
        <f t="shared" si="20"/>
        <v>0.14775134328827608</v>
      </c>
    </row>
    <row r="20" spans="1:31" x14ac:dyDescent="0.3">
      <c r="A20" s="23" t="s">
        <v>36</v>
      </c>
      <c r="B20" s="1" t="s">
        <v>33</v>
      </c>
      <c r="C20" s="1">
        <v>6.5663226913393602E-2</v>
      </c>
      <c r="D20" s="1">
        <v>0.54082998661311898</v>
      </c>
      <c r="F20" s="2">
        <v>9.81</v>
      </c>
      <c r="G20" s="2">
        <v>4000</v>
      </c>
      <c r="H20" s="18">
        <f t="shared" si="2"/>
        <v>0.1</v>
      </c>
      <c r="I20" s="2">
        <f t="shared" si="0"/>
        <v>0.05</v>
      </c>
      <c r="J20" s="2">
        <v>100</v>
      </c>
      <c r="K20" s="8">
        <v>1</v>
      </c>
      <c r="L20" s="2">
        <f t="shared" si="15"/>
        <v>257.66250240815651</v>
      </c>
      <c r="M20" s="4">
        <f t="shared" si="1"/>
        <v>1</v>
      </c>
      <c r="N20" s="2" t="s">
        <v>29</v>
      </c>
      <c r="O20" s="2" t="e">
        <f t="shared" si="16"/>
        <v>#VALUE!</v>
      </c>
      <c r="P20" s="2">
        <f t="shared" si="17"/>
        <v>0.45917001338688102</v>
      </c>
      <c r="Q20" s="2">
        <f t="shared" si="18"/>
        <v>3.6663374975918441</v>
      </c>
      <c r="R20" s="2">
        <f t="shared" si="3"/>
        <v>4.1937193945311681E-2</v>
      </c>
      <c r="S20" s="2">
        <f t="shared" si="4"/>
        <v>87.424482963093382</v>
      </c>
      <c r="T20" s="5">
        <f t="shared" si="5"/>
        <v>2.7275175857564365E-2</v>
      </c>
      <c r="U20" s="5">
        <f t="shared" si="6"/>
        <v>3924</v>
      </c>
      <c r="V20" s="2">
        <f t="shared" si="7"/>
        <v>3666.3374975918437</v>
      </c>
      <c r="W20" s="2">
        <f t="shared" si="8"/>
        <v>53768.122584992103</v>
      </c>
      <c r="X20" s="2">
        <f t="shared" si="9"/>
        <v>1.0702779006508256</v>
      </c>
      <c r="Y20" s="12">
        <f t="shared" si="10"/>
        <v>6.5663226913393602E-2</v>
      </c>
      <c r="Z20" s="2">
        <f t="shared" si="11"/>
        <v>13.70237578618555</v>
      </c>
      <c r="AA20" s="2">
        <f t="shared" si="12"/>
        <v>14.665349990367378</v>
      </c>
      <c r="AB20" s="2">
        <f t="shared" si="13"/>
        <v>1.0136763441583578</v>
      </c>
      <c r="AC20" s="2">
        <f t="shared" si="14"/>
        <v>2.4787111828791346</v>
      </c>
      <c r="AD20" s="2">
        <f t="shared" si="19"/>
        <v>0.97319837872612003</v>
      </c>
      <c r="AE20" s="2">
        <f t="shared" si="20"/>
        <v>0.16276017485415892</v>
      </c>
    </row>
    <row r="21" spans="1:31" x14ac:dyDescent="0.3">
      <c r="A21" s="23" t="s">
        <v>36</v>
      </c>
      <c r="B21" s="1" t="s">
        <v>33</v>
      </c>
      <c r="C21" s="1">
        <v>5.8783720367324099E-2</v>
      </c>
      <c r="D21" s="1">
        <v>0.52342704149932995</v>
      </c>
      <c r="F21" s="2">
        <v>9.81</v>
      </c>
      <c r="G21" s="2">
        <v>4000</v>
      </c>
      <c r="H21" s="18">
        <f t="shared" si="2"/>
        <v>0.1</v>
      </c>
      <c r="I21" s="2">
        <f t="shared" si="0"/>
        <v>0.05</v>
      </c>
      <c r="J21" s="2">
        <v>100</v>
      </c>
      <c r="K21" s="8">
        <v>1</v>
      </c>
      <c r="L21" s="2">
        <f t="shared" si="15"/>
        <v>230.66731872137976</v>
      </c>
      <c r="M21" s="4">
        <f t="shared" si="1"/>
        <v>1</v>
      </c>
      <c r="N21" s="2" t="s">
        <v>29</v>
      </c>
      <c r="O21" s="2" t="e">
        <f t="shared" si="16"/>
        <v>#VALUE!</v>
      </c>
      <c r="P21" s="2">
        <f t="shared" si="17"/>
        <v>0.47657295850067005</v>
      </c>
      <c r="Q21" s="2">
        <f t="shared" si="18"/>
        <v>3.6933326812786209</v>
      </c>
      <c r="R21" s="2">
        <f t="shared" si="3"/>
        <v>3.4873118045429842E-2</v>
      </c>
      <c r="S21" s="2">
        <f t="shared" si="4"/>
        <v>105.907727449758</v>
      </c>
      <c r="T21" s="5">
        <f t="shared" si="5"/>
        <v>2.7075817054579638E-2</v>
      </c>
      <c r="U21" s="5">
        <f t="shared" si="6"/>
        <v>3924</v>
      </c>
      <c r="V21" s="2">
        <f t="shared" si="7"/>
        <v>3693.3326812786204</v>
      </c>
      <c r="W21" s="2">
        <f t="shared" si="8"/>
        <v>54562.825178402905</v>
      </c>
      <c r="X21" s="2">
        <f t="shared" si="9"/>
        <v>1.062455061221705</v>
      </c>
      <c r="Y21" s="12">
        <f t="shared" si="10"/>
        <v>5.8783720367324099E-2</v>
      </c>
      <c r="Z21" s="2">
        <f t="shared" si="11"/>
        <v>13.904899382875358</v>
      </c>
      <c r="AA21" s="2">
        <f t="shared" si="12"/>
        <v>14.773330725114485</v>
      </c>
      <c r="AB21" s="2">
        <f t="shared" si="13"/>
        <v>1.0121901668510986</v>
      </c>
      <c r="AC21" s="2">
        <f t="shared" si="14"/>
        <v>2.5718618939838662</v>
      </c>
      <c r="AD21" s="2">
        <f t="shared" si="19"/>
        <v>0.97605832977561768</v>
      </c>
      <c r="AE21" s="2">
        <f t="shared" si="20"/>
        <v>0.15118361039932413</v>
      </c>
    </row>
    <row r="22" spans="1:31" x14ac:dyDescent="0.3">
      <c r="A22" s="23" t="s">
        <v>36</v>
      </c>
      <c r="B22" s="1" t="s">
        <v>33</v>
      </c>
      <c r="C22" s="1">
        <v>7.1086477933052394E-2</v>
      </c>
      <c r="D22" s="1">
        <v>0.51807228915662595</v>
      </c>
      <c r="F22" s="2">
        <v>9.81</v>
      </c>
      <c r="G22" s="2">
        <v>4000</v>
      </c>
      <c r="H22" s="18">
        <f t="shared" si="2"/>
        <v>0.1</v>
      </c>
      <c r="I22" s="2">
        <f t="shared" si="0"/>
        <v>0.05</v>
      </c>
      <c r="J22" s="2">
        <v>100</v>
      </c>
      <c r="K22" s="8">
        <v>1</v>
      </c>
      <c r="L22" s="2">
        <f t="shared" si="15"/>
        <v>278.94333940929761</v>
      </c>
      <c r="M22" s="4">
        <f t="shared" si="1"/>
        <v>1</v>
      </c>
      <c r="N22" s="2" t="s">
        <v>29</v>
      </c>
      <c r="O22" s="2" t="e">
        <f t="shared" si="16"/>
        <v>#VALUE!</v>
      </c>
      <c r="P22" s="2">
        <f t="shared" si="17"/>
        <v>0.48192771084337405</v>
      </c>
      <c r="Q22" s="2">
        <f t="shared" si="18"/>
        <v>3.6450566605907029</v>
      </c>
      <c r="R22" s="2">
        <f t="shared" si="3"/>
        <v>4.7867490586791725E-2</v>
      </c>
      <c r="S22" s="2">
        <f t="shared" si="4"/>
        <v>76.148898049744403</v>
      </c>
      <c r="T22" s="5">
        <f t="shared" si="5"/>
        <v>2.7434415788695703E-2</v>
      </c>
      <c r="U22" s="5">
        <f t="shared" si="6"/>
        <v>3924</v>
      </c>
      <c r="V22" s="2">
        <f t="shared" si="7"/>
        <v>3645.0566605907029</v>
      </c>
      <c r="W22" s="2">
        <f t="shared" si="8"/>
        <v>53145.752235666587</v>
      </c>
      <c r="X22" s="2">
        <f t="shared" si="9"/>
        <v>1.0765264755484192</v>
      </c>
      <c r="Y22" s="12">
        <f t="shared" si="10"/>
        <v>7.1086477933052394E-2</v>
      </c>
      <c r="Z22" s="2">
        <f t="shared" si="11"/>
        <v>13.543769682891586</v>
      </c>
      <c r="AA22" s="2">
        <f t="shared" si="12"/>
        <v>14.580226642362812</v>
      </c>
      <c r="AB22" s="2">
        <f t="shared" si="13"/>
        <v>1.0148572135819018</v>
      </c>
      <c r="AC22" s="2">
        <f t="shared" si="14"/>
        <v>2.4140022337692333</v>
      </c>
      <c r="AD22" s="2">
        <f t="shared" si="19"/>
        <v>0.97093490444180297</v>
      </c>
      <c r="AE22" s="2">
        <f t="shared" si="20"/>
        <v>0.17160291652117579</v>
      </c>
    </row>
    <row r="23" spans="1:31" x14ac:dyDescent="0.3">
      <c r="A23" s="23" t="s">
        <v>36</v>
      </c>
      <c r="B23" s="1" t="s">
        <v>33</v>
      </c>
      <c r="C23" s="1">
        <v>7.4533805579019605E-2</v>
      </c>
      <c r="D23" s="1">
        <v>0.51137884872824602</v>
      </c>
      <c r="F23" s="2">
        <v>9.81</v>
      </c>
      <c r="G23" s="2">
        <v>4000</v>
      </c>
      <c r="H23" s="18">
        <f t="shared" si="2"/>
        <v>0.1</v>
      </c>
      <c r="I23" s="2">
        <f t="shared" si="0"/>
        <v>0.05</v>
      </c>
      <c r="J23" s="2">
        <v>100</v>
      </c>
      <c r="K23" s="8">
        <v>1</v>
      </c>
      <c r="L23" s="2">
        <f t="shared" si="15"/>
        <v>292.47065309207295</v>
      </c>
      <c r="M23" s="4">
        <f t="shared" si="1"/>
        <v>1</v>
      </c>
      <c r="N23" s="2" t="s">
        <v>29</v>
      </c>
      <c r="O23" s="2" t="e">
        <f t="shared" si="16"/>
        <v>#VALUE!</v>
      </c>
      <c r="P23" s="2">
        <f t="shared" si="17"/>
        <v>0.48862115127175398</v>
      </c>
      <c r="Q23" s="2">
        <f t="shared" si="18"/>
        <v>3.6315293469079273</v>
      </c>
      <c r="R23" s="2">
        <f t="shared" si="3"/>
        <v>5.1798576598367362E-2</v>
      </c>
      <c r="S23" s="2">
        <f t="shared" si="4"/>
        <v>70.108670650660102</v>
      </c>
      <c r="T23" s="5">
        <f t="shared" si="5"/>
        <v>2.7536607981743341E-2</v>
      </c>
      <c r="U23" s="5">
        <f t="shared" si="6"/>
        <v>3924</v>
      </c>
      <c r="V23" s="2">
        <f t="shared" si="7"/>
        <v>3631.529346907927</v>
      </c>
      <c r="W23" s="2">
        <f t="shared" si="8"/>
        <v>52752.021589814067</v>
      </c>
      <c r="X23" s="2">
        <f t="shared" si="9"/>
        <v>1.0805364972036087</v>
      </c>
      <c r="Y23" s="12">
        <f t="shared" si="10"/>
        <v>7.4533805579019605E-2</v>
      </c>
      <c r="Z23" s="2">
        <f t="shared" si="11"/>
        <v>13.443430578443952</v>
      </c>
      <c r="AA23" s="2">
        <f t="shared" si="12"/>
        <v>14.526117387631711</v>
      </c>
      <c r="AB23" s="2">
        <f t="shared" si="13"/>
        <v>1.015612150756068</v>
      </c>
      <c r="AC23" s="2">
        <f t="shared" si="14"/>
        <v>2.3761958584690794</v>
      </c>
      <c r="AD23" s="2">
        <f t="shared" si="19"/>
        <v>0.96949198664451341</v>
      </c>
      <c r="AE23" s="2">
        <f t="shared" si="20"/>
        <v>0.17710692013280599</v>
      </c>
    </row>
    <row r="24" spans="1:31" x14ac:dyDescent="0.3">
      <c r="A24" s="23" t="s">
        <v>36</v>
      </c>
      <c r="B24" s="1" t="s">
        <v>33</v>
      </c>
      <c r="C24" s="1">
        <v>7.5019224087823203E-2</v>
      </c>
      <c r="D24" s="1">
        <v>0.524765729585006</v>
      </c>
      <c r="F24" s="2">
        <v>9.81</v>
      </c>
      <c r="G24" s="2">
        <v>4000</v>
      </c>
      <c r="H24" s="18">
        <f t="shared" si="2"/>
        <v>0.1</v>
      </c>
      <c r="I24" s="2">
        <f t="shared" si="0"/>
        <v>0.05</v>
      </c>
      <c r="J24" s="2">
        <v>100</v>
      </c>
      <c r="K24" s="8">
        <v>1</v>
      </c>
      <c r="L24" s="2">
        <f t="shared" si="15"/>
        <v>294.37543532061824</v>
      </c>
      <c r="M24" s="4">
        <f t="shared" si="1"/>
        <v>1</v>
      </c>
      <c r="N24" s="2" t="s">
        <v>29</v>
      </c>
      <c r="O24" s="2" t="e">
        <f t="shared" si="16"/>
        <v>#VALUE!</v>
      </c>
      <c r="P24" s="2">
        <f t="shared" si="17"/>
        <v>0.475234270414994</v>
      </c>
      <c r="Q24" s="2">
        <f t="shared" si="18"/>
        <v>3.6296245646793817</v>
      </c>
      <c r="R24" s="2">
        <f t="shared" si="3"/>
        <v>5.236204650150024E-2</v>
      </c>
      <c r="S24" s="2">
        <f t="shared" si="4"/>
        <v>69.317851520096497</v>
      </c>
      <c r="T24" s="5">
        <f t="shared" si="5"/>
        <v>2.7551058854163715E-2</v>
      </c>
      <c r="U24" s="5">
        <f t="shared" si="6"/>
        <v>3924</v>
      </c>
      <c r="V24" s="2">
        <f t="shared" si="7"/>
        <v>3629.6245646793814</v>
      </c>
      <c r="W24" s="2">
        <f t="shared" si="8"/>
        <v>52696.697922095962</v>
      </c>
      <c r="X24" s="2">
        <f t="shared" si="9"/>
        <v>1.0811035494373842</v>
      </c>
      <c r="Y24" s="12">
        <f t="shared" si="10"/>
        <v>7.5019224087823203E-2</v>
      </c>
      <c r="Z24" s="2">
        <f t="shared" si="11"/>
        <v>13.429331784428125</v>
      </c>
      <c r="AA24" s="2">
        <f t="shared" si="12"/>
        <v>14.518498258717527</v>
      </c>
      <c r="AB24" s="2">
        <f t="shared" si="13"/>
        <v>1.0157187245343922</v>
      </c>
      <c r="AC24" s="2">
        <f t="shared" si="14"/>
        <v>2.3710596360390013</v>
      </c>
      <c r="AD24" s="2">
        <f t="shared" si="19"/>
        <v>0.96928855039577799</v>
      </c>
      <c r="AE24" s="2">
        <f t="shared" si="20"/>
        <v>0.1778750541616024</v>
      </c>
    </row>
    <row r="25" spans="1:31" x14ac:dyDescent="0.3">
      <c r="A25" s="23" t="s">
        <v>36</v>
      </c>
      <c r="B25" s="1" t="s">
        <v>33</v>
      </c>
      <c r="C25" s="1">
        <v>7.7965325837997299E-2</v>
      </c>
      <c r="D25" s="1">
        <v>0.53681392235609104</v>
      </c>
      <c r="F25" s="2">
        <v>9.81</v>
      </c>
      <c r="G25" s="2">
        <v>4000</v>
      </c>
      <c r="H25" s="18">
        <f t="shared" si="2"/>
        <v>0.1</v>
      </c>
      <c r="I25" s="2">
        <f t="shared" si="0"/>
        <v>0.05</v>
      </c>
      <c r="J25" s="2">
        <v>100</v>
      </c>
      <c r="K25" s="8">
        <v>1</v>
      </c>
      <c r="L25" s="2">
        <f t="shared" si="15"/>
        <v>305.93593858830138</v>
      </c>
      <c r="M25" s="4">
        <f t="shared" si="1"/>
        <v>1</v>
      </c>
      <c r="N25" s="2" t="s">
        <v>29</v>
      </c>
      <c r="O25" s="2" t="e">
        <f t="shared" si="16"/>
        <v>#VALUE!</v>
      </c>
      <c r="P25" s="2">
        <f t="shared" si="17"/>
        <v>0.46318607764390896</v>
      </c>
      <c r="Q25" s="2">
        <f t="shared" si="18"/>
        <v>3.6180640614116988</v>
      </c>
      <c r="R25" s="2">
        <f t="shared" si="3"/>
        <v>5.5833925466138884E-2</v>
      </c>
      <c r="S25" s="2">
        <f t="shared" si="4"/>
        <v>64.800460136121274</v>
      </c>
      <c r="T25" s="5">
        <f t="shared" si="5"/>
        <v>2.7639090492218077E-2</v>
      </c>
      <c r="U25" s="5">
        <f t="shared" si="6"/>
        <v>3924</v>
      </c>
      <c r="V25" s="2">
        <f t="shared" si="7"/>
        <v>3618.0640614116987</v>
      </c>
      <c r="W25" s="2">
        <f t="shared" si="8"/>
        <v>52361.550209915666</v>
      </c>
      <c r="X25" s="2">
        <f t="shared" si="9"/>
        <v>1.0845579109146373</v>
      </c>
      <c r="Y25" s="12">
        <f t="shared" si="10"/>
        <v>7.7965325837997299E-2</v>
      </c>
      <c r="Z25" s="2">
        <f t="shared" si="11"/>
        <v>13.343922071843952</v>
      </c>
      <c r="AA25" s="2">
        <f t="shared" si="12"/>
        <v>14.472256245646795</v>
      </c>
      <c r="AB25" s="2">
        <f t="shared" si="13"/>
        <v>1.0163669850716213</v>
      </c>
      <c r="AC25" s="2">
        <f t="shared" si="14"/>
        <v>2.3408100169423527</v>
      </c>
      <c r="AD25" s="2">
        <f t="shared" si="19"/>
        <v>0.96805247890263135</v>
      </c>
      <c r="AE25" s="2">
        <f t="shared" si="20"/>
        <v>0.18250201569575852</v>
      </c>
    </row>
    <row r="26" spans="1:31" x14ac:dyDescent="0.3">
      <c r="A26" s="23" t="s">
        <v>36</v>
      </c>
      <c r="B26" s="1" t="s">
        <v>33</v>
      </c>
      <c r="C26" s="1">
        <v>7.5990719746554899E-2</v>
      </c>
      <c r="D26" s="1">
        <v>0.55020080321285103</v>
      </c>
      <c r="F26" s="2">
        <v>9.81</v>
      </c>
      <c r="G26" s="2">
        <v>4000</v>
      </c>
      <c r="H26" s="18">
        <f t="shared" si="2"/>
        <v>0.1</v>
      </c>
      <c r="I26" s="2">
        <f t="shared" si="0"/>
        <v>0.05</v>
      </c>
      <c r="J26" s="2">
        <v>100</v>
      </c>
      <c r="K26" s="8">
        <v>1</v>
      </c>
      <c r="L26" s="2">
        <f t="shared" si="15"/>
        <v>298.18758428548142</v>
      </c>
      <c r="M26" s="4">
        <f t="shared" si="1"/>
        <v>1</v>
      </c>
      <c r="N26" s="2" t="s">
        <v>29</v>
      </c>
      <c r="O26" s="2" t="e">
        <f t="shared" si="16"/>
        <v>#VALUE!</v>
      </c>
      <c r="P26" s="2">
        <f t="shared" si="17"/>
        <v>0.44979919678714897</v>
      </c>
      <c r="Q26" s="2">
        <f t="shared" si="18"/>
        <v>3.6258124157145186</v>
      </c>
      <c r="R26" s="2">
        <f t="shared" si="3"/>
        <v>5.3497061621759386E-2</v>
      </c>
      <c r="S26" s="2">
        <f t="shared" si="4"/>
        <v>67.775917140087486</v>
      </c>
      <c r="T26" s="5">
        <f t="shared" si="5"/>
        <v>2.7580025807897059E-2</v>
      </c>
      <c r="U26" s="5">
        <f t="shared" si="6"/>
        <v>3924</v>
      </c>
      <c r="V26" s="2">
        <f t="shared" si="7"/>
        <v>3625.8124157145185</v>
      </c>
      <c r="W26" s="2">
        <f t="shared" si="8"/>
        <v>52586.062695798209</v>
      </c>
      <c r="X26" s="2">
        <f t="shared" si="9"/>
        <v>1.0822402127018806</v>
      </c>
      <c r="Y26" s="12">
        <f t="shared" si="10"/>
        <v>7.5990719746554899E-2</v>
      </c>
      <c r="Z26" s="2">
        <f t="shared" si="11"/>
        <v>13.40113728231351</v>
      </c>
      <c r="AA26" s="2">
        <f t="shared" si="12"/>
        <v>14.503249662858074</v>
      </c>
      <c r="AB26" s="2">
        <f t="shared" si="13"/>
        <v>1.0159322184078619</v>
      </c>
      <c r="AC26" s="2">
        <f t="shared" si="14"/>
        <v>2.3609120783429929</v>
      </c>
      <c r="AD26" s="2">
        <f t="shared" si="19"/>
        <v>0.96888120939428601</v>
      </c>
      <c r="AE26" s="2">
        <f t="shared" si="20"/>
        <v>0.17940740809161884</v>
      </c>
    </row>
    <row r="27" spans="1:31" x14ac:dyDescent="0.3">
      <c r="A27" s="23" t="s">
        <v>36</v>
      </c>
      <c r="B27" s="1" t="s">
        <v>33</v>
      </c>
      <c r="C27" s="1">
        <v>6.4216851003851397E-2</v>
      </c>
      <c r="D27" s="1">
        <v>0.48058902275769699</v>
      </c>
      <c r="F27" s="2">
        <v>9.81</v>
      </c>
      <c r="G27" s="2">
        <v>4000</v>
      </c>
      <c r="H27" s="18">
        <f t="shared" si="2"/>
        <v>0.1</v>
      </c>
      <c r="I27" s="2">
        <f t="shared" si="0"/>
        <v>0.05</v>
      </c>
      <c r="J27" s="2">
        <v>100</v>
      </c>
      <c r="K27" s="8">
        <v>1</v>
      </c>
      <c r="L27" s="2">
        <f t="shared" si="15"/>
        <v>251.98692333911288</v>
      </c>
      <c r="M27" s="4">
        <f t="shared" si="1"/>
        <v>1</v>
      </c>
      <c r="N27" s="2" t="s">
        <v>29</v>
      </c>
      <c r="O27" s="2" t="e">
        <f t="shared" si="16"/>
        <v>#VALUE!</v>
      </c>
      <c r="P27" s="2">
        <f t="shared" si="17"/>
        <v>0.51941097724230301</v>
      </c>
      <c r="Q27" s="2">
        <f t="shared" si="18"/>
        <v>3.6720130766608872</v>
      </c>
      <c r="R27" s="2">
        <f t="shared" si="3"/>
        <v>4.0408929076804663E-2</v>
      </c>
      <c r="S27" s="2">
        <f t="shared" si="4"/>
        <v>90.871328702662353</v>
      </c>
      <c r="T27" s="5">
        <f t="shared" si="5"/>
        <v>2.7233018486670021E-2</v>
      </c>
      <c r="U27" s="5">
        <f t="shared" si="6"/>
        <v>3924</v>
      </c>
      <c r="V27" s="2">
        <f t="shared" si="7"/>
        <v>3672.0130766608868</v>
      </c>
      <c r="W27" s="2">
        <f t="shared" si="8"/>
        <v>53934.720140674217</v>
      </c>
      <c r="X27" s="2">
        <f t="shared" si="9"/>
        <v>1.0686236454169318</v>
      </c>
      <c r="Y27" s="12">
        <f t="shared" si="10"/>
        <v>6.4216851003851397E-2</v>
      </c>
      <c r="Z27" s="2">
        <f t="shared" si="11"/>
        <v>13.744831840131043</v>
      </c>
      <c r="AA27" s="2">
        <f t="shared" si="12"/>
        <v>14.68805230664355</v>
      </c>
      <c r="AB27" s="2">
        <f t="shared" si="13"/>
        <v>1.0133627962294862</v>
      </c>
      <c r="AC27" s="2">
        <f t="shared" si="14"/>
        <v>2.4971827805462992</v>
      </c>
      <c r="AD27" s="2">
        <f t="shared" si="19"/>
        <v>0.97380071294447657</v>
      </c>
      <c r="AE27" s="2">
        <f t="shared" si="20"/>
        <v>0.16036121454772509</v>
      </c>
    </row>
    <row r="28" spans="1:31" x14ac:dyDescent="0.3">
      <c r="A28" s="23" t="s">
        <v>36</v>
      </c>
      <c r="B28" s="1" t="s">
        <v>33</v>
      </c>
      <c r="C28" s="1">
        <v>6.57001108163692E-2</v>
      </c>
      <c r="D28" s="1">
        <v>0.46586345381526101</v>
      </c>
      <c r="F28" s="2">
        <v>9.81</v>
      </c>
      <c r="G28" s="2">
        <v>4000</v>
      </c>
      <c r="H28" s="18">
        <f t="shared" si="2"/>
        <v>0.1</v>
      </c>
      <c r="I28" s="2">
        <f t="shared" si="0"/>
        <v>0.05</v>
      </c>
      <c r="J28" s="2">
        <v>100</v>
      </c>
      <c r="K28" s="8">
        <v>1</v>
      </c>
      <c r="L28" s="2">
        <f t="shared" si="15"/>
        <v>257.80723484343275</v>
      </c>
      <c r="M28" s="4">
        <f t="shared" si="1"/>
        <v>1</v>
      </c>
      <c r="N28" s="2" t="s">
        <v>29</v>
      </c>
      <c r="O28" s="2" t="e">
        <f t="shared" si="16"/>
        <v>#VALUE!</v>
      </c>
      <c r="P28" s="2">
        <f t="shared" si="17"/>
        <v>0.53413654618473894</v>
      </c>
      <c r="Q28" s="2">
        <f t="shared" si="18"/>
        <v>3.666192765156568</v>
      </c>
      <c r="R28" s="2">
        <f t="shared" si="3"/>
        <v>4.1976462423472173E-2</v>
      </c>
      <c r="S28" s="2">
        <f t="shared" si="4"/>
        <v>87.339250463052977</v>
      </c>
      <c r="T28" s="5">
        <f t="shared" si="5"/>
        <v>2.7276252615628473E-2</v>
      </c>
      <c r="U28" s="5">
        <f t="shared" si="6"/>
        <v>3924</v>
      </c>
      <c r="V28" s="2">
        <f t="shared" si="7"/>
        <v>3666.1927651565675</v>
      </c>
      <c r="W28" s="2">
        <f t="shared" si="8"/>
        <v>53763.877565145449</v>
      </c>
      <c r="X28" s="2">
        <f t="shared" si="9"/>
        <v>1.0703201526372612</v>
      </c>
      <c r="Y28" s="12">
        <f t="shared" si="10"/>
        <v>6.57001108163692E-2</v>
      </c>
      <c r="Z28" s="2">
        <f t="shared" si="11"/>
        <v>13.701293976846445</v>
      </c>
      <c r="AA28" s="2">
        <f t="shared" si="12"/>
        <v>14.664771060626274</v>
      </c>
      <c r="AB28" s="2">
        <f t="shared" si="13"/>
        <v>1.0136843475307169</v>
      </c>
      <c r="AC28" s="2">
        <f t="shared" si="14"/>
        <v>2.4782472483160092</v>
      </c>
      <c r="AD28" s="2">
        <f t="shared" si="19"/>
        <v>0.9731830113422294</v>
      </c>
      <c r="AE28" s="2">
        <f t="shared" si="20"/>
        <v>0.16282111884472386</v>
      </c>
    </row>
    <row r="29" spans="1:31" x14ac:dyDescent="0.3">
      <c r="A29" s="23" t="s">
        <v>36</v>
      </c>
      <c r="B29" s="1" t="s">
        <v>33</v>
      </c>
      <c r="C29" s="1">
        <v>7.7992330124104406E-2</v>
      </c>
      <c r="D29" s="1">
        <v>0.48192771084337299</v>
      </c>
      <c r="F29" s="2">
        <v>9.81</v>
      </c>
      <c r="G29" s="2">
        <v>4000</v>
      </c>
      <c r="H29" s="18">
        <f t="shared" si="2"/>
        <v>0.1</v>
      </c>
      <c r="I29" s="2">
        <f t="shared" si="0"/>
        <v>0.05</v>
      </c>
      <c r="J29" s="2">
        <v>100</v>
      </c>
      <c r="K29" s="8">
        <v>1</v>
      </c>
      <c r="L29" s="2">
        <f t="shared" si="15"/>
        <v>306.04190340698568</v>
      </c>
      <c r="M29" s="4">
        <f t="shared" si="1"/>
        <v>1</v>
      </c>
      <c r="N29" s="2" t="s">
        <v>29</v>
      </c>
      <c r="O29" s="2" t="e">
        <f t="shared" si="16"/>
        <v>#VALUE!</v>
      </c>
      <c r="P29" s="2">
        <f t="shared" si="17"/>
        <v>0.51807228915662695</v>
      </c>
      <c r="Q29" s="2">
        <f t="shared" si="18"/>
        <v>3.6179580965930147</v>
      </c>
      <c r="R29" s="2">
        <f t="shared" si="3"/>
        <v>5.5866160508910134E-2</v>
      </c>
      <c r="S29" s="2">
        <f t="shared" si="4"/>
        <v>64.761173197431106</v>
      </c>
      <c r="T29" s="5">
        <f t="shared" si="5"/>
        <v>2.7639900001652517E-2</v>
      </c>
      <c r="U29" s="5">
        <f t="shared" si="6"/>
        <v>3924</v>
      </c>
      <c r="V29" s="2">
        <f t="shared" si="7"/>
        <v>3617.9580965930145</v>
      </c>
      <c r="W29" s="2">
        <f t="shared" si="8"/>
        <v>52358.483154811795</v>
      </c>
      <c r="X29" s="2">
        <f t="shared" si="9"/>
        <v>1.0845896760648448</v>
      </c>
      <c r="Y29" s="12">
        <f t="shared" si="10"/>
        <v>7.7992330124104406E-2</v>
      </c>
      <c r="Z29" s="2">
        <f t="shared" si="11"/>
        <v>13.343140457393424</v>
      </c>
      <c r="AA29" s="2">
        <f t="shared" si="12"/>
        <v>14.471832386372059</v>
      </c>
      <c r="AB29" s="2">
        <f t="shared" si="13"/>
        <v>1.0163729385889753</v>
      </c>
      <c r="AC29" s="2">
        <f t="shared" si="14"/>
        <v>2.3405398228507059</v>
      </c>
      <c r="AD29" s="2">
        <f t="shared" si="19"/>
        <v>0.96804113798605573</v>
      </c>
      <c r="AE29" s="2">
        <f t="shared" si="20"/>
        <v>0.18254415453238509</v>
      </c>
    </row>
    <row r="30" spans="1:31" x14ac:dyDescent="0.3">
      <c r="A30" s="23" t="s">
        <v>36</v>
      </c>
      <c r="B30" s="1" t="s">
        <v>33</v>
      </c>
      <c r="C30" s="1">
        <v>8.2916989812468395E-2</v>
      </c>
      <c r="D30" s="1">
        <v>0.472556894243641</v>
      </c>
      <c r="F30" s="2">
        <v>9.81</v>
      </c>
      <c r="G30" s="2">
        <v>4000</v>
      </c>
      <c r="H30" s="18">
        <f t="shared" si="2"/>
        <v>0.1</v>
      </c>
      <c r="I30" s="2">
        <f t="shared" si="0"/>
        <v>0.05</v>
      </c>
      <c r="J30" s="2">
        <v>100</v>
      </c>
      <c r="K30" s="8">
        <v>1</v>
      </c>
      <c r="L30" s="2">
        <f t="shared" si="15"/>
        <v>325.36626802412599</v>
      </c>
      <c r="M30" s="4">
        <f t="shared" si="1"/>
        <v>1</v>
      </c>
      <c r="N30" s="2" t="s">
        <v>29</v>
      </c>
      <c r="O30" s="2" t="e">
        <f t="shared" si="16"/>
        <v>#VALUE!</v>
      </c>
      <c r="P30" s="2">
        <f t="shared" si="17"/>
        <v>0.527443105756359</v>
      </c>
      <c r="Q30" s="2">
        <f t="shared" si="18"/>
        <v>3.5986337319758741</v>
      </c>
      <c r="R30" s="2">
        <f t="shared" si="3"/>
        <v>6.1868303991461884E-2</v>
      </c>
      <c r="S30" s="2">
        <f t="shared" si="4"/>
        <v>58.166031712660207</v>
      </c>
      <c r="T30" s="5">
        <f t="shared" si="5"/>
        <v>2.7788323971801868E-2</v>
      </c>
      <c r="U30" s="5">
        <f t="shared" si="6"/>
        <v>3924</v>
      </c>
      <c r="V30" s="2">
        <f t="shared" si="7"/>
        <v>3598.6337319758741</v>
      </c>
      <c r="W30" s="2">
        <f t="shared" si="8"/>
        <v>51800.658947658427</v>
      </c>
      <c r="X30" s="2">
        <f t="shared" si="9"/>
        <v>1.0904138326535053</v>
      </c>
      <c r="Y30" s="12">
        <f t="shared" si="10"/>
        <v>8.2916989812468395E-2</v>
      </c>
      <c r="Z30" s="2">
        <f t="shared" si="11"/>
        <v>13.200983421931301</v>
      </c>
      <c r="AA30" s="2">
        <f t="shared" si="12"/>
        <v>14.394534927903496</v>
      </c>
      <c r="AB30" s="2">
        <f t="shared" si="13"/>
        <v>1.017462169137364</v>
      </c>
      <c r="AC30" s="2">
        <f t="shared" si="14"/>
        <v>2.2932539888522903</v>
      </c>
      <c r="AD30" s="2">
        <f t="shared" si="19"/>
        <v>0.96596960036246959</v>
      </c>
      <c r="AE30" s="2">
        <f t="shared" si="20"/>
        <v>0.19014971763106792</v>
      </c>
    </row>
    <row r="31" spans="1:31" x14ac:dyDescent="0.3">
      <c r="A31" s="23" t="s">
        <v>36</v>
      </c>
      <c r="B31" s="1" t="s">
        <v>33</v>
      </c>
      <c r="C31" s="1">
        <v>8.5873629820635497E-2</v>
      </c>
      <c r="D31" s="1">
        <v>0.46318607764390901</v>
      </c>
      <c r="F31" s="2">
        <v>9.81</v>
      </c>
      <c r="G31" s="2">
        <v>4000</v>
      </c>
      <c r="H31" s="18">
        <f t="shared" si="2"/>
        <v>0.1</v>
      </c>
      <c r="I31" s="2">
        <f t="shared" si="0"/>
        <v>0.05</v>
      </c>
      <c r="J31" s="2">
        <v>100</v>
      </c>
      <c r="K31" s="8">
        <v>1</v>
      </c>
      <c r="L31" s="2">
        <f t="shared" si="15"/>
        <v>336.96812341617368</v>
      </c>
      <c r="M31" s="4">
        <f t="shared" si="1"/>
        <v>1</v>
      </c>
      <c r="N31" s="2" t="s">
        <v>29</v>
      </c>
      <c r="O31" s="2" t="e">
        <f t="shared" si="16"/>
        <v>#VALUE!</v>
      </c>
      <c r="P31" s="2">
        <f t="shared" si="17"/>
        <v>0.53681392235609104</v>
      </c>
      <c r="Q31" s="2">
        <f t="shared" si="18"/>
        <v>3.5870318765838265</v>
      </c>
      <c r="R31" s="2">
        <f t="shared" si="3"/>
        <v>6.5588651172082083E-2</v>
      </c>
      <c r="S31" s="2">
        <f t="shared" si="4"/>
        <v>54.689825335372234</v>
      </c>
      <c r="T31" s="5">
        <f t="shared" si="5"/>
        <v>2.7878202213033238E-2</v>
      </c>
      <c r="U31" s="5">
        <f t="shared" si="6"/>
        <v>3924</v>
      </c>
      <c r="V31" s="2">
        <f t="shared" si="7"/>
        <v>3587.0318765838265</v>
      </c>
      <c r="W31" s="2">
        <f t="shared" si="8"/>
        <v>51467.190734513948</v>
      </c>
      <c r="X31" s="2">
        <f t="shared" si="9"/>
        <v>1.0939406548394242</v>
      </c>
      <c r="Y31" s="12">
        <f t="shared" si="10"/>
        <v>8.5873629820635497E-2</v>
      </c>
      <c r="Z31" s="2">
        <f t="shared" si="11"/>
        <v>13.11600171623699</v>
      </c>
      <c r="AA31" s="2">
        <f t="shared" si="12"/>
        <v>14.348127506335304</v>
      </c>
      <c r="AB31" s="2">
        <f t="shared" si="13"/>
        <v>1.0181194929002315</v>
      </c>
      <c r="AC31" s="2">
        <f t="shared" si="14"/>
        <v>2.266627010572893</v>
      </c>
      <c r="AD31" s="2">
        <f t="shared" si="19"/>
        <v>0.96472269407003375</v>
      </c>
      <c r="AE31" s="2">
        <f t="shared" si="20"/>
        <v>0.1946434888473903</v>
      </c>
    </row>
    <row r="32" spans="1:31" x14ac:dyDescent="0.3">
      <c r="A32" s="23" t="s">
        <v>36</v>
      </c>
      <c r="B32" s="1" t="s">
        <v>33</v>
      </c>
      <c r="C32" s="1">
        <v>9.6688517085973993E-2</v>
      </c>
      <c r="D32" s="1">
        <v>0.48192771084337299</v>
      </c>
      <c r="F32" s="2">
        <v>9.81</v>
      </c>
      <c r="G32" s="2">
        <v>4000</v>
      </c>
      <c r="H32" s="18">
        <f t="shared" si="2"/>
        <v>0.1</v>
      </c>
      <c r="I32" s="2">
        <f t="shared" si="0"/>
        <v>0.05</v>
      </c>
      <c r="J32" s="2">
        <v>100</v>
      </c>
      <c r="K32" s="8">
        <v>1</v>
      </c>
      <c r="L32" s="2">
        <f t="shared" si="15"/>
        <v>379.40574104536194</v>
      </c>
      <c r="M32" s="4">
        <f t="shared" si="1"/>
        <v>1</v>
      </c>
      <c r="N32" s="2" t="s">
        <v>29</v>
      </c>
      <c r="O32" s="2" t="e">
        <f t="shared" si="16"/>
        <v>#VALUE!</v>
      </c>
      <c r="P32" s="2">
        <f t="shared" si="17"/>
        <v>0.51807228915662695</v>
      </c>
      <c r="Q32" s="2">
        <f t="shared" si="18"/>
        <v>3.5445942589546382</v>
      </c>
      <c r="R32" s="2">
        <f t="shared" si="3"/>
        <v>7.9925831764005223E-2</v>
      </c>
      <c r="S32" s="2">
        <f t="shared" si="4"/>
        <v>44.348543902810583</v>
      </c>
      <c r="T32" s="5">
        <f t="shared" si="5"/>
        <v>2.8211973696953323E-2</v>
      </c>
      <c r="U32" s="5">
        <f t="shared" si="6"/>
        <v>3924</v>
      </c>
      <c r="V32" s="2">
        <f t="shared" si="7"/>
        <v>3544.5942589546376</v>
      </c>
      <c r="W32" s="2">
        <f t="shared" si="8"/>
        <v>50256.593842456721</v>
      </c>
      <c r="X32" s="2">
        <f t="shared" si="9"/>
        <v>1.1070378478684486</v>
      </c>
      <c r="Y32" s="12">
        <f t="shared" si="10"/>
        <v>9.6688517085973993E-2</v>
      </c>
      <c r="Z32" s="2">
        <f t="shared" si="11"/>
        <v>12.807490785539429</v>
      </c>
      <c r="AA32" s="2">
        <f t="shared" si="12"/>
        <v>14.178377035818555</v>
      </c>
      <c r="AB32" s="2">
        <f t="shared" si="13"/>
        <v>1.0205457860425375</v>
      </c>
      <c r="AC32" s="2">
        <f t="shared" si="14"/>
        <v>2.1787548497837568</v>
      </c>
      <c r="AD32" s="2">
        <f t="shared" si="19"/>
        <v>0.96014099348571957</v>
      </c>
      <c r="AE32" s="2">
        <f t="shared" si="20"/>
        <v>0.21066057551946549</v>
      </c>
    </row>
    <row r="33" spans="1:31" x14ac:dyDescent="0.3">
      <c r="A33" s="23" t="s">
        <v>36</v>
      </c>
      <c r="B33" s="1" t="s">
        <v>33</v>
      </c>
      <c r="C33" s="1">
        <v>0.10703445187062301</v>
      </c>
      <c r="D33" s="1">
        <v>0.45381526104417602</v>
      </c>
      <c r="F33" s="2">
        <v>9.81</v>
      </c>
      <c r="G33" s="2">
        <v>4000</v>
      </c>
      <c r="H33" s="18">
        <f t="shared" si="2"/>
        <v>0.1</v>
      </c>
      <c r="I33" s="2">
        <f t="shared" si="0"/>
        <v>0.05</v>
      </c>
      <c r="J33" s="2">
        <v>100</v>
      </c>
      <c r="K33" s="8">
        <v>1</v>
      </c>
      <c r="L33" s="2">
        <f t="shared" si="15"/>
        <v>420.00318914032471</v>
      </c>
      <c r="M33" s="4">
        <f t="shared" si="1"/>
        <v>1</v>
      </c>
      <c r="N33" s="2" t="s">
        <v>29</v>
      </c>
      <c r="O33" s="2" t="e">
        <f t="shared" si="16"/>
        <v>#VALUE!</v>
      </c>
      <c r="P33" s="2">
        <f t="shared" si="17"/>
        <v>0.54618473895582398</v>
      </c>
      <c r="Q33" s="2">
        <f t="shared" si="18"/>
        <v>3.5039968108596757</v>
      </c>
      <c r="R33" s="2">
        <f t="shared" si="3"/>
        <v>9.4682194294117061E-2</v>
      </c>
      <c r="S33" s="2">
        <f t="shared" si="4"/>
        <v>37.007980613281916</v>
      </c>
      <c r="T33" s="5">
        <f t="shared" si="5"/>
        <v>2.8538838759806368E-2</v>
      </c>
      <c r="U33" s="5">
        <f t="shared" si="6"/>
        <v>3924</v>
      </c>
      <c r="V33" s="2">
        <f t="shared" si="7"/>
        <v>3503.9968108596754</v>
      </c>
      <c r="W33" s="2">
        <f t="shared" si="8"/>
        <v>49111.974602059112</v>
      </c>
      <c r="X33" s="2">
        <f t="shared" si="9"/>
        <v>1.1198640329348017</v>
      </c>
      <c r="Y33" s="12">
        <f t="shared" si="10"/>
        <v>0.10703445187062302</v>
      </c>
      <c r="Z33" s="2">
        <f t="shared" si="11"/>
        <v>12.515793731411598</v>
      </c>
      <c r="AA33" s="2">
        <f t="shared" si="12"/>
        <v>14.015987243438705</v>
      </c>
      <c r="AB33" s="2">
        <f t="shared" si="13"/>
        <v>1.0228997189824141</v>
      </c>
      <c r="AC33" s="2">
        <f t="shared" si="14"/>
        <v>2.1061637654942533</v>
      </c>
      <c r="AD33" s="2">
        <f t="shared" si="19"/>
        <v>0.95572705739793573</v>
      </c>
      <c r="AE33" s="2">
        <f t="shared" si="20"/>
        <v>0.22543208418944485</v>
      </c>
    </row>
    <row r="34" spans="1:31" x14ac:dyDescent="0.3">
      <c r="A34" s="23" t="s">
        <v>36</v>
      </c>
      <c r="B34" s="1" t="s">
        <v>33</v>
      </c>
      <c r="C34" s="1">
        <v>0.102616287207048</v>
      </c>
      <c r="D34" s="1">
        <v>0.43373493975903599</v>
      </c>
      <c r="F34" s="2">
        <v>9.81</v>
      </c>
      <c r="G34" s="2">
        <v>4000</v>
      </c>
      <c r="H34" s="18">
        <f t="shared" si="2"/>
        <v>0.1</v>
      </c>
      <c r="I34" s="2">
        <f t="shared" si="0"/>
        <v>0.05</v>
      </c>
      <c r="J34" s="2">
        <v>100</v>
      </c>
      <c r="K34" s="8">
        <v>1</v>
      </c>
      <c r="L34" s="2">
        <f t="shared" si="15"/>
        <v>402.66631100045635</v>
      </c>
      <c r="M34" s="4">
        <f t="shared" si="1"/>
        <v>1</v>
      </c>
      <c r="N34" s="2" t="s">
        <v>29</v>
      </c>
      <c r="O34" s="2" t="e">
        <f t="shared" si="16"/>
        <v>#VALUE!</v>
      </c>
      <c r="P34" s="2">
        <f t="shared" si="17"/>
        <v>0.56626506024096401</v>
      </c>
      <c r="Q34" s="2">
        <f t="shared" si="18"/>
        <v>3.5213336889995435</v>
      </c>
      <c r="R34" s="2">
        <f t="shared" si="3"/>
        <v>8.825842250932954E-2</v>
      </c>
      <c r="S34" s="2">
        <f t="shared" si="4"/>
        <v>39.897990343384095</v>
      </c>
      <c r="T34" s="5">
        <f t="shared" si="5"/>
        <v>2.8398331096082884E-2</v>
      </c>
      <c r="U34" s="5">
        <f t="shared" si="6"/>
        <v>3924</v>
      </c>
      <c r="V34" s="2">
        <f t="shared" si="7"/>
        <v>3521.333688999543</v>
      </c>
      <c r="W34" s="2">
        <f t="shared" si="8"/>
        <v>49599.163797132533</v>
      </c>
      <c r="X34" s="2">
        <f t="shared" si="9"/>
        <v>1.1143505122102926</v>
      </c>
      <c r="Y34" s="12">
        <f t="shared" si="10"/>
        <v>0.102616287207048</v>
      </c>
      <c r="Z34" s="2">
        <f t="shared" si="11"/>
        <v>12.639949999269248</v>
      </c>
      <c r="AA34" s="2">
        <f t="shared" si="12"/>
        <v>14.085334755998176</v>
      </c>
      <c r="AB34" s="2">
        <f t="shared" si="13"/>
        <v>1.0218905038856871</v>
      </c>
      <c r="AC34" s="2">
        <f t="shared" si="14"/>
        <v>2.1359671420523467</v>
      </c>
      <c r="AD34" s="2">
        <f t="shared" si="19"/>
        <v>0.95761573422996671</v>
      </c>
      <c r="AE34" s="2">
        <f t="shared" si="20"/>
        <v>0.21918501771366111</v>
      </c>
    </row>
    <row r="35" spans="1:31" x14ac:dyDescent="0.3">
      <c r="A35" s="23" t="s">
        <v>36</v>
      </c>
      <c r="B35" s="1" t="s">
        <v>33</v>
      </c>
      <c r="C35" s="1">
        <v>0.104590234657366</v>
      </c>
      <c r="D35" s="1">
        <v>0.421686746987951</v>
      </c>
      <c r="F35" s="2">
        <v>9.81</v>
      </c>
      <c r="G35" s="2">
        <v>4000</v>
      </c>
      <c r="H35" s="18">
        <f t="shared" si="2"/>
        <v>0.1</v>
      </c>
      <c r="I35" s="2">
        <f t="shared" si="0"/>
        <v>0.05</v>
      </c>
      <c r="J35" s="2">
        <v>100</v>
      </c>
      <c r="K35" s="8">
        <v>1</v>
      </c>
      <c r="L35" s="2">
        <f t="shared" si="15"/>
        <v>410.41208079550415</v>
      </c>
      <c r="M35" s="4">
        <f t="shared" si="1"/>
        <v>1</v>
      </c>
      <c r="N35" s="2" t="s">
        <v>29</v>
      </c>
      <c r="O35" s="2" t="e">
        <f t="shared" si="16"/>
        <v>#VALUE!</v>
      </c>
      <c r="P35" s="2">
        <f t="shared" si="17"/>
        <v>0.57831325301204894</v>
      </c>
      <c r="Q35" s="2">
        <f t="shared" si="18"/>
        <v>3.5135879192044963</v>
      </c>
      <c r="R35" s="2">
        <f t="shared" si="3"/>
        <v>9.1106122008156071E-2</v>
      </c>
      <c r="S35" s="2">
        <f t="shared" si="4"/>
        <v>38.565881652716492</v>
      </c>
      <c r="T35" s="5">
        <f t="shared" si="5"/>
        <v>2.8460935744178219E-2</v>
      </c>
      <c r="U35" s="5">
        <f t="shared" si="6"/>
        <v>3924</v>
      </c>
      <c r="V35" s="2">
        <f t="shared" si="7"/>
        <v>3513.5879192044958</v>
      </c>
      <c r="W35" s="2">
        <f t="shared" si="8"/>
        <v>49381.200263919127</v>
      </c>
      <c r="X35" s="2">
        <f t="shared" si="9"/>
        <v>1.1168071186015531</v>
      </c>
      <c r="Y35" s="12">
        <f t="shared" si="10"/>
        <v>0.10459023465736599</v>
      </c>
      <c r="Z35" s="2">
        <f t="shared" si="11"/>
        <v>12.584403736982448</v>
      </c>
      <c r="AA35" s="2">
        <f t="shared" si="12"/>
        <v>14.054351676817987</v>
      </c>
      <c r="AB35" s="2">
        <f t="shared" si="13"/>
        <v>1.0223406624246616</v>
      </c>
      <c r="AC35" s="2">
        <f t="shared" si="14"/>
        <v>2.122444230641249</v>
      </c>
      <c r="AD35" s="2">
        <f t="shared" si="19"/>
        <v>0.95677260236792905</v>
      </c>
      <c r="AE35" s="2">
        <f t="shared" si="20"/>
        <v>0.2219869401299408</v>
      </c>
    </row>
    <row r="36" spans="1:31" x14ac:dyDescent="0.3">
      <c r="A36" s="23" t="s">
        <v>36</v>
      </c>
      <c r="B36" s="1" t="s">
        <v>33</v>
      </c>
      <c r="C36" s="1">
        <v>0.105090801912035</v>
      </c>
      <c r="D36" s="1">
        <v>0.40428380187416302</v>
      </c>
      <c r="F36" s="2">
        <v>9.81</v>
      </c>
      <c r="G36" s="2">
        <v>4000</v>
      </c>
      <c r="H36" s="18">
        <f t="shared" si="2"/>
        <v>0.1</v>
      </c>
      <c r="I36" s="2">
        <f t="shared" si="0"/>
        <v>0.05</v>
      </c>
      <c r="J36" s="2">
        <v>100</v>
      </c>
      <c r="K36" s="8">
        <v>1</v>
      </c>
      <c r="L36" s="2">
        <f t="shared" si="15"/>
        <v>412.37630670282533</v>
      </c>
      <c r="M36" s="4">
        <f t="shared" si="1"/>
        <v>1</v>
      </c>
      <c r="N36" s="2" t="s">
        <v>29</v>
      </c>
      <c r="O36" s="2" t="e">
        <f t="shared" si="16"/>
        <v>#VALUE!</v>
      </c>
      <c r="P36" s="2">
        <f t="shared" si="17"/>
        <v>0.59571619812583698</v>
      </c>
      <c r="Q36" s="2">
        <f t="shared" si="18"/>
        <v>3.5116236932971749</v>
      </c>
      <c r="R36" s="2">
        <f t="shared" si="3"/>
        <v>9.1834001582343311E-2</v>
      </c>
      <c r="S36" s="2">
        <f t="shared" si="4"/>
        <v>38.238818224080809</v>
      </c>
      <c r="T36" s="5">
        <f t="shared" si="5"/>
        <v>2.8476855362058122E-2</v>
      </c>
      <c r="U36" s="5">
        <f t="shared" si="6"/>
        <v>3924</v>
      </c>
      <c r="V36" s="2">
        <f t="shared" si="7"/>
        <v>3511.6236932971747</v>
      </c>
      <c r="W36" s="2">
        <f t="shared" si="8"/>
        <v>49326.00385330437</v>
      </c>
      <c r="X36" s="2">
        <f t="shared" si="9"/>
        <v>1.1174318044071607</v>
      </c>
      <c r="Y36" s="12">
        <f t="shared" si="10"/>
        <v>0.105090801912035</v>
      </c>
      <c r="Z36" s="2">
        <f t="shared" si="11"/>
        <v>12.570337373421093</v>
      </c>
      <c r="AA36" s="2">
        <f t="shared" si="12"/>
        <v>14.046494773188702</v>
      </c>
      <c r="AB36" s="2">
        <f t="shared" si="13"/>
        <v>1.0224550060472941</v>
      </c>
      <c r="AC36" s="2">
        <f t="shared" si="14"/>
        <v>2.119068998983098</v>
      </c>
      <c r="AD36" s="2">
        <f t="shared" si="19"/>
        <v>0.95655861793347996</v>
      </c>
      <c r="AE36" s="2">
        <f t="shared" si="20"/>
        <v>0.22269466041006705</v>
      </c>
    </row>
    <row r="37" spans="1:31" x14ac:dyDescent="0.3">
      <c r="A37" s="23" t="s">
        <v>36</v>
      </c>
      <c r="B37" s="1" t="s">
        <v>33</v>
      </c>
      <c r="C37" s="1">
        <v>9.0810803690366204E-2</v>
      </c>
      <c r="D37" s="1">
        <v>0.42838018741633199</v>
      </c>
      <c r="F37" s="2">
        <v>9.81</v>
      </c>
      <c r="G37" s="2">
        <v>4000</v>
      </c>
      <c r="H37" s="18">
        <f t="shared" ref="H37:H79" si="21">100/1000</f>
        <v>0.1</v>
      </c>
      <c r="I37" s="2">
        <f t="shared" si="0"/>
        <v>0.05</v>
      </c>
      <c r="J37" s="2">
        <v>100</v>
      </c>
      <c r="K37" s="8">
        <v>1</v>
      </c>
      <c r="L37" s="2">
        <f t="shared" si="15"/>
        <v>356.34159368099699</v>
      </c>
      <c r="M37" s="4">
        <f t="shared" si="1"/>
        <v>1</v>
      </c>
      <c r="N37" s="2" t="s">
        <v>29</v>
      </c>
      <c r="O37" s="2" t="e">
        <f t="shared" si="16"/>
        <v>#VALUE!</v>
      </c>
      <c r="P37" s="2">
        <f t="shared" si="17"/>
        <v>0.57161981258366801</v>
      </c>
      <c r="Q37" s="2">
        <f t="shared" si="18"/>
        <v>3.5676584063190036</v>
      </c>
      <c r="R37" s="2">
        <f t="shared" si="3"/>
        <v>7.1993208791031105E-2</v>
      </c>
      <c r="S37" s="2">
        <f t="shared" si="4"/>
        <v>49.555485388553222</v>
      </c>
      <c r="T37" s="5">
        <f t="shared" si="5"/>
        <v>2.802958933032404E-2</v>
      </c>
      <c r="U37" s="5">
        <f t="shared" si="6"/>
        <v>3924</v>
      </c>
      <c r="V37" s="2">
        <f t="shared" si="7"/>
        <v>3567.6584063190035</v>
      </c>
      <c r="W37" s="2">
        <f t="shared" si="8"/>
        <v>50912.746016714606</v>
      </c>
      <c r="X37" s="2">
        <f t="shared" si="9"/>
        <v>1.0998810853219152</v>
      </c>
      <c r="Y37" s="12">
        <f t="shared" si="10"/>
        <v>9.0810803690366204E-2</v>
      </c>
      <c r="Z37" s="2">
        <f t="shared" si="11"/>
        <v>12.974705916593937</v>
      </c>
      <c r="AA37" s="2">
        <f t="shared" si="12"/>
        <v>14.270633625276014</v>
      </c>
      <c r="AB37" s="2">
        <f t="shared" si="13"/>
        <v>1.0192228385973203</v>
      </c>
      <c r="AC37" s="2">
        <f t="shared" si="14"/>
        <v>2.2247821610807237</v>
      </c>
      <c r="AD37" s="2">
        <f t="shared" si="19"/>
        <v>0.96263512998680945</v>
      </c>
      <c r="AE37" s="2">
        <f t="shared" si="20"/>
        <v>0.2020342560837303</v>
      </c>
    </row>
    <row r="38" spans="1:31" x14ac:dyDescent="0.3">
      <c r="A38" s="23" t="s">
        <v>36</v>
      </c>
      <c r="B38" s="1" t="s">
        <v>33</v>
      </c>
      <c r="C38" s="1">
        <v>8.9820866080146694E-2</v>
      </c>
      <c r="D38" s="1">
        <v>0.44042838018741598</v>
      </c>
      <c r="F38" s="2">
        <v>9.81</v>
      </c>
      <c r="G38" s="2">
        <v>4000</v>
      </c>
      <c r="H38" s="18">
        <f t="shared" si="21"/>
        <v>0.1</v>
      </c>
      <c r="I38" s="2">
        <f t="shared" si="0"/>
        <v>0.05</v>
      </c>
      <c r="J38" s="2">
        <v>100</v>
      </c>
      <c r="K38" s="8">
        <v>1</v>
      </c>
      <c r="L38" s="2">
        <f t="shared" si="15"/>
        <v>352.4570784984956</v>
      </c>
      <c r="M38" s="4">
        <f t="shared" si="1"/>
        <v>1</v>
      </c>
      <c r="N38" s="2" t="s">
        <v>29</v>
      </c>
      <c r="O38" s="2" t="e">
        <f t="shared" si="16"/>
        <v>#VALUE!</v>
      </c>
      <c r="P38" s="2">
        <f t="shared" si="17"/>
        <v>0.55957161981258396</v>
      </c>
      <c r="Q38" s="2">
        <f t="shared" si="18"/>
        <v>3.5715429215015049</v>
      </c>
      <c r="R38" s="2">
        <f t="shared" si="3"/>
        <v>7.0689958920867491E-2</v>
      </c>
      <c r="S38" s="2">
        <f t="shared" si="4"/>
        <v>50.524048620534629</v>
      </c>
      <c r="T38" s="5">
        <f t="shared" si="5"/>
        <v>2.799910352413159E-2</v>
      </c>
      <c r="U38" s="5">
        <f t="shared" si="6"/>
        <v>3924</v>
      </c>
      <c r="V38" s="2">
        <f t="shared" si="7"/>
        <v>3571.5429215015051</v>
      </c>
      <c r="W38" s="2">
        <f t="shared" si="8"/>
        <v>51023.675360510017</v>
      </c>
      <c r="X38" s="2">
        <f t="shared" si="9"/>
        <v>1.0986848222869232</v>
      </c>
      <c r="Y38" s="12">
        <f t="shared" si="10"/>
        <v>8.9820866080146694E-2</v>
      </c>
      <c r="Z38" s="2">
        <f t="shared" si="11"/>
        <v>13.002975372199291</v>
      </c>
      <c r="AA38" s="2">
        <f t="shared" si="12"/>
        <v>14.286171686006018</v>
      </c>
      <c r="AB38" s="2">
        <f t="shared" si="13"/>
        <v>1.0190010347296941</v>
      </c>
      <c r="AC38" s="2">
        <f t="shared" si="14"/>
        <v>2.2329256054184485</v>
      </c>
      <c r="AD38" s="2">
        <f t="shared" si="19"/>
        <v>0.96305424522905647</v>
      </c>
      <c r="AE38" s="2">
        <f t="shared" si="20"/>
        <v>0.20056331177122094</v>
      </c>
    </row>
    <row r="39" spans="1:31" x14ac:dyDescent="0.3">
      <c r="A39" s="23" t="s">
        <v>36</v>
      </c>
      <c r="B39" s="1" t="s">
        <v>33</v>
      </c>
      <c r="C39" s="1">
        <v>0.116369372529066</v>
      </c>
      <c r="D39" s="1">
        <v>0.48058902275769699</v>
      </c>
      <c r="F39" s="2">
        <v>9.81</v>
      </c>
      <c r="G39" s="2">
        <v>4000</v>
      </c>
      <c r="H39" s="18">
        <f t="shared" si="21"/>
        <v>0.1</v>
      </c>
      <c r="I39" s="2">
        <f t="shared" si="0"/>
        <v>0.05</v>
      </c>
      <c r="J39" s="2">
        <v>100</v>
      </c>
      <c r="K39" s="8">
        <v>1</v>
      </c>
      <c r="L39" s="2">
        <f t="shared" si="15"/>
        <v>456.633417804055</v>
      </c>
      <c r="M39" s="4">
        <f t="shared" si="1"/>
        <v>1</v>
      </c>
      <c r="N39" s="2" t="s">
        <v>29</v>
      </c>
      <c r="O39" s="2" t="e">
        <f t="shared" si="16"/>
        <v>#VALUE!</v>
      </c>
      <c r="P39" s="2">
        <f t="shared" si="17"/>
        <v>0.51941097724230301</v>
      </c>
      <c r="Q39" s="2">
        <f t="shared" si="18"/>
        <v>3.467366582195945</v>
      </c>
      <c r="R39" s="2">
        <f t="shared" si="3"/>
        <v>0.10884124135484716</v>
      </c>
      <c r="S39" s="2">
        <f t="shared" si="4"/>
        <v>31.857102501169962</v>
      </c>
      <c r="T39" s="5">
        <f t="shared" si="5"/>
        <v>2.8840331020514195E-2</v>
      </c>
      <c r="U39" s="5">
        <f t="shared" si="6"/>
        <v>3924</v>
      </c>
      <c r="V39" s="2">
        <f t="shared" si="7"/>
        <v>3467.3665821959448</v>
      </c>
      <c r="W39" s="2">
        <f t="shared" si="8"/>
        <v>48090.524061316755</v>
      </c>
      <c r="X39" s="2">
        <f t="shared" si="9"/>
        <v>1.1316945892449772</v>
      </c>
      <c r="Y39" s="12">
        <f t="shared" si="10"/>
        <v>0.116369372529066</v>
      </c>
      <c r="Z39" s="2">
        <f t="shared" si="11"/>
        <v>12.255485234790203</v>
      </c>
      <c r="AA39" s="2">
        <f t="shared" si="12"/>
        <v>13.86946632878378</v>
      </c>
      <c r="AB39" s="2">
        <f t="shared" si="13"/>
        <v>1.0250518833158646</v>
      </c>
      <c r="AC39" s="2">
        <f t="shared" si="14"/>
        <v>2.0482695204554289</v>
      </c>
      <c r="AD39" s="2">
        <f t="shared" si="19"/>
        <v>0.95171804587527908</v>
      </c>
      <c r="AE39" s="2">
        <f t="shared" si="20"/>
        <v>0.23835583886580924</v>
      </c>
    </row>
    <row r="40" spans="1:31" x14ac:dyDescent="0.3">
      <c r="A40" s="23" t="s">
        <v>36</v>
      </c>
      <c r="B40" s="1" t="s">
        <v>33</v>
      </c>
      <c r="C40" s="1">
        <v>0.118848497721925</v>
      </c>
      <c r="D40" s="1">
        <v>0.44176706827309198</v>
      </c>
      <c r="F40" s="2">
        <v>9.81</v>
      </c>
      <c r="G40" s="2">
        <v>4000</v>
      </c>
      <c r="H40" s="18">
        <f t="shared" si="21"/>
        <v>0.1</v>
      </c>
      <c r="I40" s="2">
        <f t="shared" si="0"/>
        <v>0.05</v>
      </c>
      <c r="J40" s="2">
        <v>100</v>
      </c>
      <c r="K40" s="8">
        <v>1</v>
      </c>
      <c r="L40" s="2">
        <f t="shared" si="15"/>
        <v>466.36150506083374</v>
      </c>
      <c r="M40" s="4">
        <f t="shared" si="1"/>
        <v>1</v>
      </c>
      <c r="N40" s="2" t="s">
        <v>29</v>
      </c>
      <c r="O40" s="2" t="e">
        <f t="shared" si="16"/>
        <v>#VALUE!</v>
      </c>
      <c r="P40" s="2">
        <f t="shared" si="17"/>
        <v>0.55823293172690802</v>
      </c>
      <c r="Q40" s="2">
        <f t="shared" si="18"/>
        <v>3.4576384949391668</v>
      </c>
      <c r="R40" s="2">
        <f t="shared" si="3"/>
        <v>0.11273319774510476</v>
      </c>
      <c r="S40" s="2">
        <f t="shared" si="4"/>
        <v>30.670987465085975</v>
      </c>
      <c r="T40" s="5">
        <f t="shared" si="5"/>
        <v>2.8921473469932374E-2</v>
      </c>
      <c r="U40" s="5">
        <f t="shared" si="6"/>
        <v>3924</v>
      </c>
      <c r="V40" s="2">
        <f t="shared" si="7"/>
        <v>3457.6384949391668</v>
      </c>
      <c r="W40" s="2">
        <f t="shared" si="8"/>
        <v>47821.055846740746</v>
      </c>
      <c r="X40" s="2">
        <f t="shared" si="9"/>
        <v>1.1348786189601461</v>
      </c>
      <c r="Y40" s="12">
        <f t="shared" si="10"/>
        <v>0.118848497721925</v>
      </c>
      <c r="Z40" s="2">
        <f t="shared" si="11"/>
        <v>12.186813416600598</v>
      </c>
      <c r="AA40" s="2">
        <f t="shared" si="12"/>
        <v>13.830553979756667</v>
      </c>
      <c r="AB40" s="2">
        <f t="shared" si="13"/>
        <v>1.0256280332403613</v>
      </c>
      <c r="AC40" s="2">
        <f t="shared" si="14"/>
        <v>2.0339273417294823</v>
      </c>
      <c r="AD40" s="2">
        <f t="shared" si="19"/>
        <v>0.95064908471436083</v>
      </c>
      <c r="AE40" s="2">
        <f t="shared" si="20"/>
        <v>0.24172920904009737</v>
      </c>
    </row>
    <row r="41" spans="1:31" x14ac:dyDescent="0.3">
      <c r="A41" s="23" t="s">
        <v>36</v>
      </c>
      <c r="B41" s="1" t="s">
        <v>33</v>
      </c>
      <c r="C41" s="1">
        <v>0.125254441299433</v>
      </c>
      <c r="D41" s="1">
        <v>0.421686746987951</v>
      </c>
      <c r="F41" s="2">
        <v>9.81</v>
      </c>
      <c r="G41" s="2">
        <v>4000</v>
      </c>
      <c r="H41" s="18">
        <f t="shared" si="21"/>
        <v>0.1</v>
      </c>
      <c r="I41" s="2">
        <f t="shared" si="0"/>
        <v>0.05</v>
      </c>
      <c r="J41" s="2">
        <v>100</v>
      </c>
      <c r="K41" s="8">
        <v>1</v>
      </c>
      <c r="L41" s="2">
        <f t="shared" si="15"/>
        <v>491.49842765897512</v>
      </c>
      <c r="M41" s="4">
        <f t="shared" si="1"/>
        <v>1</v>
      </c>
      <c r="N41" s="2" t="s">
        <v>29</v>
      </c>
      <c r="O41" s="2" t="e">
        <f t="shared" si="16"/>
        <v>#VALUE!</v>
      </c>
      <c r="P41" s="2">
        <f t="shared" si="17"/>
        <v>0.57831325301204894</v>
      </c>
      <c r="Q41" s="2">
        <f t="shared" si="18"/>
        <v>3.432501572341025</v>
      </c>
      <c r="R41" s="2">
        <f t="shared" si="3"/>
        <v>0.12304129372881013</v>
      </c>
      <c r="S41" s="2">
        <f t="shared" si="4"/>
        <v>27.897151178420227</v>
      </c>
      <c r="T41" s="5">
        <f t="shared" si="5"/>
        <v>2.9133271432647382E-2</v>
      </c>
      <c r="U41" s="5">
        <f t="shared" si="6"/>
        <v>3924</v>
      </c>
      <c r="V41" s="2">
        <f t="shared" si="7"/>
        <v>3432.5015723410247</v>
      </c>
      <c r="W41" s="2">
        <f t="shared" si="8"/>
        <v>47128.268176494435</v>
      </c>
      <c r="X41" s="2">
        <f t="shared" si="9"/>
        <v>1.1431895710170834</v>
      </c>
      <c r="Y41" s="12">
        <f t="shared" si="10"/>
        <v>0.125254441299433</v>
      </c>
      <c r="Z41" s="2">
        <f t="shared" si="11"/>
        <v>12.010262022552098</v>
      </c>
      <c r="AA41" s="2">
        <f t="shared" si="12"/>
        <v>13.730006289364102</v>
      </c>
      <c r="AB41" s="2">
        <f t="shared" si="13"/>
        <v>1.0271258296343764</v>
      </c>
      <c r="AC41" s="2">
        <f t="shared" si="14"/>
        <v>1.9986448183298384</v>
      </c>
      <c r="AD41" s="2">
        <f t="shared" si="19"/>
        <v>0.94787855640862873</v>
      </c>
      <c r="AE41" s="2">
        <f t="shared" si="20"/>
        <v>0.25033914007591074</v>
      </c>
    </row>
    <row r="42" spans="1:31" x14ac:dyDescent="0.3">
      <c r="A42" s="23" t="s">
        <v>36</v>
      </c>
      <c r="B42" s="1" t="s">
        <v>33</v>
      </c>
      <c r="C42" s="1">
        <v>0.115430808926563</v>
      </c>
      <c r="D42" s="1">
        <v>0.38821954484604998</v>
      </c>
      <c r="F42" s="2">
        <v>9.81</v>
      </c>
      <c r="G42" s="2">
        <v>4000</v>
      </c>
      <c r="H42" s="18">
        <f t="shared" si="21"/>
        <v>0.1</v>
      </c>
      <c r="I42" s="2">
        <f t="shared" si="0"/>
        <v>0.05</v>
      </c>
      <c r="J42" s="2">
        <v>100</v>
      </c>
      <c r="K42" s="8">
        <v>1</v>
      </c>
      <c r="L42" s="2">
        <f t="shared" si="15"/>
        <v>452.95049422783325</v>
      </c>
      <c r="M42" s="4">
        <f t="shared" si="1"/>
        <v>1</v>
      </c>
      <c r="N42" s="2" t="s">
        <v>29</v>
      </c>
      <c r="O42" s="2" t="e">
        <f t="shared" si="16"/>
        <v>#VALUE!</v>
      </c>
      <c r="P42" s="2">
        <f t="shared" si="17"/>
        <v>0.61178045515395008</v>
      </c>
      <c r="Q42" s="2">
        <f t="shared" si="18"/>
        <v>3.4710495057721671</v>
      </c>
      <c r="R42" s="2">
        <f t="shared" si="3"/>
        <v>0.10738210108475696</v>
      </c>
      <c r="S42" s="2">
        <f t="shared" si="4"/>
        <v>32.324283755934886</v>
      </c>
      <c r="T42" s="5">
        <f t="shared" si="5"/>
        <v>2.8809730265646007E-2</v>
      </c>
      <c r="U42" s="5">
        <f t="shared" si="6"/>
        <v>3924</v>
      </c>
      <c r="V42" s="2">
        <f t="shared" si="7"/>
        <v>3471.0495057721664</v>
      </c>
      <c r="W42" s="2">
        <f t="shared" si="8"/>
        <v>48192.73868608482</v>
      </c>
      <c r="X42" s="2">
        <f t="shared" si="9"/>
        <v>1.1304938156239492</v>
      </c>
      <c r="Y42" s="12">
        <f t="shared" si="10"/>
        <v>0.115430808926563</v>
      </c>
      <c r="Z42" s="2">
        <f t="shared" si="11"/>
        <v>12.281533813986957</v>
      </c>
      <c r="AA42" s="2">
        <f t="shared" si="12"/>
        <v>13.88419802308867</v>
      </c>
      <c r="AB42" s="2">
        <f t="shared" si="13"/>
        <v>1.0248342666547923</v>
      </c>
      <c r="AC42" s="2">
        <f t="shared" si="14"/>
        <v>2.0538060094914488</v>
      </c>
      <c r="AD42" s="2">
        <f t="shared" si="19"/>
        <v>0.95212227063501076</v>
      </c>
      <c r="AE42" s="2">
        <f t="shared" si="20"/>
        <v>0.23707248905383427</v>
      </c>
    </row>
    <row r="43" spans="1:31" x14ac:dyDescent="0.3">
      <c r="A43" s="23" t="s">
        <v>36</v>
      </c>
      <c r="B43" s="1" t="s">
        <v>33</v>
      </c>
      <c r="C43" s="1">
        <v>0.11199401953858799</v>
      </c>
      <c r="D43" s="1">
        <v>0.373493975903614</v>
      </c>
      <c r="F43" s="2">
        <v>9.81</v>
      </c>
      <c r="G43" s="2">
        <v>4000</v>
      </c>
      <c r="H43" s="18">
        <f t="shared" si="21"/>
        <v>0.1</v>
      </c>
      <c r="I43" s="2">
        <f t="shared" si="0"/>
        <v>0.05</v>
      </c>
      <c r="J43" s="2">
        <v>100</v>
      </c>
      <c r="K43" s="8">
        <v>1</v>
      </c>
      <c r="L43" s="2">
        <f t="shared" si="15"/>
        <v>439.46453266941927</v>
      </c>
      <c r="M43" s="4">
        <f t="shared" si="1"/>
        <v>1</v>
      </c>
      <c r="N43" s="2" t="s">
        <v>29</v>
      </c>
      <c r="O43" s="2" t="e">
        <f t="shared" si="16"/>
        <v>#VALUE!</v>
      </c>
      <c r="P43" s="2">
        <f t="shared" si="17"/>
        <v>0.626506024096386</v>
      </c>
      <c r="Q43" s="2">
        <f t="shared" si="18"/>
        <v>3.4845354673305811</v>
      </c>
      <c r="R43" s="2">
        <f t="shared" si="3"/>
        <v>0.10210657736098003</v>
      </c>
      <c r="S43" s="2">
        <f t="shared" si="4"/>
        <v>34.126454508524091</v>
      </c>
      <c r="T43" s="5">
        <f t="shared" si="5"/>
        <v>2.8698229918321827E-2</v>
      </c>
      <c r="U43" s="5">
        <f t="shared" si="6"/>
        <v>3924</v>
      </c>
      <c r="V43" s="2">
        <f t="shared" si="7"/>
        <v>3484.5354673305806</v>
      </c>
      <c r="W43" s="2">
        <f t="shared" si="8"/>
        <v>48567.949692339003</v>
      </c>
      <c r="X43" s="2">
        <f t="shared" si="9"/>
        <v>1.1261185419949484</v>
      </c>
      <c r="Y43" s="12">
        <f t="shared" si="10"/>
        <v>0.11199401953858799</v>
      </c>
      <c r="Z43" s="2">
        <f t="shared" si="11"/>
        <v>12.37715333647783</v>
      </c>
      <c r="AA43" s="2">
        <f t="shared" si="12"/>
        <v>13.938141869322326</v>
      </c>
      <c r="AB43" s="2">
        <f t="shared" si="13"/>
        <v>1.0240397664138035</v>
      </c>
      <c r="AC43" s="2">
        <f t="shared" si="14"/>
        <v>2.0746032599203152</v>
      </c>
      <c r="AD43" s="2">
        <f t="shared" si="19"/>
        <v>0.95360025000298998</v>
      </c>
      <c r="AE43" s="2">
        <f t="shared" si="20"/>
        <v>0.23234315802633415</v>
      </c>
    </row>
    <row r="44" spans="1:31" x14ac:dyDescent="0.3">
      <c r="A44" s="23" t="s">
        <v>36</v>
      </c>
      <c r="B44" s="1" t="s">
        <v>33</v>
      </c>
      <c r="C44" s="1">
        <v>0.115942573080349</v>
      </c>
      <c r="D44" s="1">
        <v>0.34805890227576902</v>
      </c>
      <c r="F44" s="2">
        <v>9.81</v>
      </c>
      <c r="G44" s="2">
        <v>4000</v>
      </c>
      <c r="H44" s="18">
        <f t="shared" si="21"/>
        <v>0.1</v>
      </c>
      <c r="I44" s="2">
        <f t="shared" si="0"/>
        <v>0.05</v>
      </c>
      <c r="J44" s="2">
        <v>100</v>
      </c>
      <c r="K44" s="8">
        <v>1</v>
      </c>
      <c r="L44" s="2">
        <f t="shared" si="15"/>
        <v>454.95865676728948</v>
      </c>
      <c r="M44" s="4">
        <f t="shared" si="1"/>
        <v>1</v>
      </c>
      <c r="N44" s="2" t="s">
        <v>29</v>
      </c>
      <c r="O44" s="2" t="e">
        <f t="shared" si="16"/>
        <v>#VALUE!</v>
      </c>
      <c r="P44" s="2">
        <f t="shared" si="17"/>
        <v>0.65194109772423103</v>
      </c>
      <c r="Q44" s="2">
        <f t="shared" si="18"/>
        <v>3.469041343232711</v>
      </c>
      <c r="R44" s="2">
        <f t="shared" si="3"/>
        <v>0.10817673994290972</v>
      </c>
      <c r="S44" s="2">
        <f t="shared" si="4"/>
        <v>32.068274058392753</v>
      </c>
      <c r="T44" s="5">
        <f t="shared" si="5"/>
        <v>2.8826407674580373E-2</v>
      </c>
      <c r="U44" s="5">
        <f t="shared" si="6"/>
        <v>3924</v>
      </c>
      <c r="V44" s="2">
        <f t="shared" si="7"/>
        <v>3469.0413432327105</v>
      </c>
      <c r="W44" s="2">
        <f t="shared" si="8"/>
        <v>48136.991364231246</v>
      </c>
      <c r="X44" s="2">
        <f t="shared" si="9"/>
        <v>1.1311482371505337</v>
      </c>
      <c r="Y44" s="12">
        <f t="shared" si="10"/>
        <v>0.115942573080349</v>
      </c>
      <c r="Z44" s="2">
        <f t="shared" si="11"/>
        <v>12.267327055104802</v>
      </c>
      <c r="AA44" s="2">
        <f t="shared" si="12"/>
        <v>13.876165372930846</v>
      </c>
      <c r="AB44" s="2">
        <f t="shared" si="13"/>
        <v>1.0249528906319985</v>
      </c>
      <c r="AC44" s="2">
        <f t="shared" si="14"/>
        <v>2.0507797568774659</v>
      </c>
      <c r="AD44" s="2">
        <f t="shared" si="19"/>
        <v>0.95190189368757061</v>
      </c>
      <c r="AE44" s="2">
        <f t="shared" si="20"/>
        <v>0.237772681833466</v>
      </c>
    </row>
    <row r="45" spans="1:31" x14ac:dyDescent="0.3">
      <c r="A45" s="23" t="s">
        <v>36</v>
      </c>
      <c r="B45" s="1" t="s">
        <v>33</v>
      </c>
      <c r="C45" s="1">
        <v>0.123803454902018</v>
      </c>
      <c r="D45" s="1">
        <v>0.370816599732262</v>
      </c>
      <c r="F45" s="2">
        <v>9.81</v>
      </c>
      <c r="G45" s="2">
        <v>4000</v>
      </c>
      <c r="H45" s="18">
        <f t="shared" si="21"/>
        <v>0.1</v>
      </c>
      <c r="I45" s="2">
        <f t="shared" si="0"/>
        <v>0.05</v>
      </c>
      <c r="J45" s="2">
        <v>100</v>
      </c>
      <c r="K45" s="8">
        <v>1</v>
      </c>
      <c r="L45" s="2">
        <f t="shared" si="15"/>
        <v>485.80475703551861</v>
      </c>
      <c r="M45" s="4">
        <f t="shared" si="1"/>
        <v>1</v>
      </c>
      <c r="N45" s="2" t="s">
        <v>29</v>
      </c>
      <c r="O45" s="2" t="e">
        <f t="shared" si="16"/>
        <v>#VALUE!</v>
      </c>
      <c r="P45" s="2">
        <f t="shared" si="17"/>
        <v>0.629183400267738</v>
      </c>
      <c r="Q45" s="2">
        <f t="shared" si="18"/>
        <v>3.4381952429644822</v>
      </c>
      <c r="R45" s="2">
        <f t="shared" si="3"/>
        <v>0.12067489772530983</v>
      </c>
      <c r="S45" s="2">
        <f t="shared" si="4"/>
        <v>28.491387254296964</v>
      </c>
      <c r="T45" s="5">
        <f t="shared" si="5"/>
        <v>2.9085026571608535E-2</v>
      </c>
      <c r="U45" s="5">
        <f t="shared" si="6"/>
        <v>3924</v>
      </c>
      <c r="V45" s="2">
        <f t="shared" si="7"/>
        <v>3438.1952429644821</v>
      </c>
      <c r="W45" s="2">
        <f t="shared" si="8"/>
        <v>47284.746114974376</v>
      </c>
      <c r="X45" s="2">
        <f t="shared" si="9"/>
        <v>1.1412964426699186</v>
      </c>
      <c r="Y45" s="12">
        <f t="shared" si="10"/>
        <v>0.123803454902018</v>
      </c>
      <c r="Z45" s="2">
        <f t="shared" si="11"/>
        <v>12.050139173031187</v>
      </c>
      <c r="AA45" s="2">
        <f t="shared" si="12"/>
        <v>13.752780971857929</v>
      </c>
      <c r="AB45" s="2">
        <f t="shared" si="13"/>
        <v>1.0267854188427827</v>
      </c>
      <c r="AC45" s="2">
        <f t="shared" si="14"/>
        <v>2.0064226039803343</v>
      </c>
      <c r="AD45" s="2">
        <f t="shared" si="19"/>
        <v>0.94850716209580144</v>
      </c>
      <c r="AE45" s="2">
        <f t="shared" si="20"/>
        <v>0.24840205036626883</v>
      </c>
    </row>
    <row r="46" spans="1:31" x14ac:dyDescent="0.3">
      <c r="A46" s="23" t="s">
        <v>36</v>
      </c>
      <c r="B46" s="1" t="s">
        <v>33</v>
      </c>
      <c r="C46" s="1">
        <v>0.137084953178849</v>
      </c>
      <c r="D46" s="1">
        <v>0.37617135207496599</v>
      </c>
      <c r="F46" s="2">
        <v>9.81</v>
      </c>
      <c r="G46" s="2">
        <v>4000</v>
      </c>
      <c r="H46" s="18">
        <f t="shared" si="21"/>
        <v>0.1</v>
      </c>
      <c r="I46" s="2">
        <f t="shared" si="0"/>
        <v>0.05</v>
      </c>
      <c r="J46" s="2">
        <v>100</v>
      </c>
      <c r="K46" s="8">
        <v>1</v>
      </c>
      <c r="L46" s="2">
        <f t="shared" si="15"/>
        <v>537.92135627380344</v>
      </c>
      <c r="M46" s="4">
        <f t="shared" si="1"/>
        <v>1</v>
      </c>
      <c r="N46" s="2" t="s">
        <v>29</v>
      </c>
      <c r="O46" s="2" t="e">
        <f t="shared" si="16"/>
        <v>#VALUE!</v>
      </c>
      <c r="P46" s="2">
        <f t="shared" si="17"/>
        <v>0.62382864792503401</v>
      </c>
      <c r="Q46" s="2">
        <f t="shared" si="18"/>
        <v>3.3860786437261972</v>
      </c>
      <c r="R46" s="2">
        <f t="shared" si="3"/>
        <v>0.14301403020777495</v>
      </c>
      <c r="S46" s="2">
        <f t="shared" si="4"/>
        <v>23.676548649155635</v>
      </c>
      <c r="T46" s="5">
        <f t="shared" si="5"/>
        <v>2.9532686780704951E-2</v>
      </c>
      <c r="U46" s="5">
        <f t="shared" si="6"/>
        <v>3924</v>
      </c>
      <c r="V46" s="2">
        <f t="shared" si="7"/>
        <v>3386.0786437261972</v>
      </c>
      <c r="W46" s="2">
        <f t="shared" si="8"/>
        <v>45862.114325994575</v>
      </c>
      <c r="X46" s="2">
        <f t="shared" si="9"/>
        <v>1.1588626292748621</v>
      </c>
      <c r="Y46" s="12">
        <f t="shared" si="10"/>
        <v>0.137084953178849</v>
      </c>
      <c r="Z46" s="2">
        <f t="shared" si="11"/>
        <v>11.687592845564367</v>
      </c>
      <c r="AA46" s="2">
        <f t="shared" si="12"/>
        <v>13.544314574904789</v>
      </c>
      <c r="AB46" s="2">
        <f t="shared" si="13"/>
        <v>1.0299268769030845</v>
      </c>
      <c r="AC46" s="2">
        <f t="shared" si="14"/>
        <v>1.9394119651479556</v>
      </c>
      <c r="AD46" s="2">
        <f t="shared" si="19"/>
        <v>0.94272975937178694</v>
      </c>
      <c r="AE46" s="2">
        <f t="shared" si="20"/>
        <v>0.26586419843680714</v>
      </c>
    </row>
    <row r="47" spans="1:31" x14ac:dyDescent="0.3">
      <c r="A47" s="23" t="s">
        <v>36</v>
      </c>
      <c r="B47" s="1" t="s">
        <v>33</v>
      </c>
      <c r="C47" s="1">
        <v>0.15234237482936999</v>
      </c>
      <c r="D47" s="1">
        <v>0.365461847389558</v>
      </c>
      <c r="F47" s="2">
        <v>9.81</v>
      </c>
      <c r="G47" s="2">
        <v>4000</v>
      </c>
      <c r="H47" s="18">
        <f t="shared" si="21"/>
        <v>0.1</v>
      </c>
      <c r="I47" s="2">
        <f t="shared" si="0"/>
        <v>0.05</v>
      </c>
      <c r="J47" s="2">
        <v>100</v>
      </c>
      <c r="K47" s="8">
        <v>1</v>
      </c>
      <c r="L47" s="2">
        <f t="shared" si="15"/>
        <v>597.79147883044789</v>
      </c>
      <c r="M47" s="4">
        <f t="shared" si="1"/>
        <v>1</v>
      </c>
      <c r="N47" s="2" t="s">
        <v>29</v>
      </c>
      <c r="O47" s="2" t="e">
        <f t="shared" si="16"/>
        <v>#VALUE!</v>
      </c>
      <c r="P47" s="2">
        <f t="shared" si="17"/>
        <v>0.634538152610442</v>
      </c>
      <c r="Q47" s="2">
        <f t="shared" si="18"/>
        <v>3.3262085211695522</v>
      </c>
      <c r="R47" s="2">
        <f t="shared" si="3"/>
        <v>0.17051537104768386</v>
      </c>
      <c r="S47" s="2">
        <f t="shared" si="4"/>
        <v>19.506795784641568</v>
      </c>
      <c r="T47" s="5">
        <f t="shared" si="5"/>
        <v>3.0064260663020093E-2</v>
      </c>
      <c r="U47" s="5">
        <f t="shared" si="6"/>
        <v>3924</v>
      </c>
      <c r="V47" s="2">
        <f t="shared" si="7"/>
        <v>3326.2085211695521</v>
      </c>
      <c r="W47" s="2">
        <f t="shared" si="8"/>
        <v>44254.652505203754</v>
      </c>
      <c r="X47" s="2">
        <f t="shared" si="9"/>
        <v>1.1797215884169083</v>
      </c>
      <c r="Y47" s="12">
        <f t="shared" si="10"/>
        <v>0.15234237482936999</v>
      </c>
      <c r="Z47" s="2">
        <f t="shared" si="11"/>
        <v>11.277944063507583</v>
      </c>
      <c r="AA47" s="2">
        <f t="shared" si="12"/>
        <v>13.304834084678209</v>
      </c>
      <c r="AB47" s="2">
        <f t="shared" si="13"/>
        <v>1.0336081031225934</v>
      </c>
      <c r="AC47" s="2">
        <f t="shared" si="14"/>
        <v>1.8723761169540794</v>
      </c>
      <c r="AD47" s="2">
        <f t="shared" si="19"/>
        <v>0.9360265968710596</v>
      </c>
      <c r="AE47" s="2">
        <f t="shared" si="20"/>
        <v>0.28524222423057871</v>
      </c>
    </row>
    <row r="48" spans="1:31" x14ac:dyDescent="0.3">
      <c r="A48" s="23" t="s">
        <v>36</v>
      </c>
      <c r="B48" s="1" t="s">
        <v>33</v>
      </c>
      <c r="C48" s="1">
        <v>0.146946128095819</v>
      </c>
      <c r="D48" s="1">
        <v>0.33333333333333298</v>
      </c>
      <c r="F48" s="2">
        <v>9.81</v>
      </c>
      <c r="G48" s="2">
        <v>4000</v>
      </c>
      <c r="H48" s="18">
        <f t="shared" si="21"/>
        <v>0.1</v>
      </c>
      <c r="I48" s="2">
        <f t="shared" si="0"/>
        <v>0.05</v>
      </c>
      <c r="J48" s="2">
        <v>100</v>
      </c>
      <c r="K48" s="8">
        <v>1</v>
      </c>
      <c r="L48" s="2">
        <f t="shared" si="15"/>
        <v>576.61660664799376</v>
      </c>
      <c r="M48" s="4">
        <f t="shared" si="1"/>
        <v>1</v>
      </c>
      <c r="N48" s="2" t="s">
        <v>29</v>
      </c>
      <c r="O48" s="2" t="e">
        <f t="shared" si="16"/>
        <v>#VALUE!</v>
      </c>
      <c r="P48" s="2">
        <f t="shared" si="17"/>
        <v>0.66666666666666696</v>
      </c>
      <c r="Q48" s="2">
        <f t="shared" si="18"/>
        <v>3.3473833933520063</v>
      </c>
      <c r="R48" s="2">
        <f t="shared" si="3"/>
        <v>0.16056809103839398</v>
      </c>
      <c r="S48" s="2">
        <f t="shared" si="4"/>
        <v>20.847127045632014</v>
      </c>
      <c r="T48" s="5">
        <f t="shared" si="5"/>
        <v>2.987408021399721E-2</v>
      </c>
      <c r="U48" s="5">
        <f t="shared" si="6"/>
        <v>3924</v>
      </c>
      <c r="V48" s="2">
        <f t="shared" si="7"/>
        <v>3347.3833933520064</v>
      </c>
      <c r="W48" s="2">
        <f t="shared" si="8"/>
        <v>44819.902328355172</v>
      </c>
      <c r="X48" s="2">
        <f t="shared" si="9"/>
        <v>1.1722589075972503</v>
      </c>
      <c r="Y48" s="12">
        <f t="shared" si="10"/>
        <v>0.146946128095819</v>
      </c>
      <c r="Z48" s="2">
        <f t="shared" si="11"/>
        <v>11.421993457786741</v>
      </c>
      <c r="AA48" s="2">
        <f t="shared" si="12"/>
        <v>13.389533573408025</v>
      </c>
      <c r="AB48" s="2">
        <f t="shared" si="13"/>
        <v>1.0322971023853937</v>
      </c>
      <c r="AC48" s="2">
        <f t="shared" si="14"/>
        <v>1.8950206678085779</v>
      </c>
      <c r="AD48" s="2">
        <f t="shared" si="19"/>
        <v>0.9384055840335388</v>
      </c>
      <c r="AE48" s="2">
        <f t="shared" si="20"/>
        <v>0.27846594979602379</v>
      </c>
    </row>
    <row r="49" spans="1:31" x14ac:dyDescent="0.3">
      <c r="A49" s="23" t="s">
        <v>36</v>
      </c>
      <c r="B49" s="1" t="s">
        <v>33</v>
      </c>
      <c r="C49" s="1">
        <v>0.143006136888678</v>
      </c>
      <c r="D49" s="1">
        <v>0.34136546184738897</v>
      </c>
      <c r="F49" s="2">
        <v>9.81</v>
      </c>
      <c r="G49" s="2">
        <v>4000</v>
      </c>
      <c r="H49" s="18">
        <f t="shared" si="21"/>
        <v>0.1</v>
      </c>
      <c r="I49" s="2">
        <f t="shared" si="0"/>
        <v>0.05</v>
      </c>
      <c r="J49" s="2">
        <v>100</v>
      </c>
      <c r="K49" s="8">
        <v>1</v>
      </c>
      <c r="L49" s="2">
        <f t="shared" si="15"/>
        <v>561.15608115117243</v>
      </c>
      <c r="M49" s="4">
        <f t="shared" si="1"/>
        <v>1</v>
      </c>
      <c r="N49" s="2" t="s">
        <v>29</v>
      </c>
      <c r="O49" s="2" t="e">
        <f t="shared" si="16"/>
        <v>#VALUE!</v>
      </c>
      <c r="P49" s="2">
        <f t="shared" si="17"/>
        <v>0.65863453815261108</v>
      </c>
      <c r="Q49" s="2">
        <f t="shared" si="18"/>
        <v>3.3628439188488279</v>
      </c>
      <c r="R49" s="2">
        <f t="shared" si="3"/>
        <v>0.1534570305838206</v>
      </c>
      <c r="S49" s="2">
        <f t="shared" si="4"/>
        <v>21.913912357452993</v>
      </c>
      <c r="T49" s="5">
        <f t="shared" si="5"/>
        <v>2.9736735457598074E-2</v>
      </c>
      <c r="U49" s="5">
        <f t="shared" si="6"/>
        <v>3924</v>
      </c>
      <c r="V49" s="2">
        <f t="shared" si="7"/>
        <v>3362.8439188488278</v>
      </c>
      <c r="W49" s="2">
        <f t="shared" si="8"/>
        <v>45234.87689015417</v>
      </c>
      <c r="X49" s="2">
        <f t="shared" si="9"/>
        <v>1.1668694993561484</v>
      </c>
      <c r="Y49" s="12">
        <f t="shared" si="10"/>
        <v>0.143006136888678</v>
      </c>
      <c r="Z49" s="2">
        <f t="shared" si="11"/>
        <v>11.527746404218698</v>
      </c>
      <c r="AA49" s="2">
        <f t="shared" si="12"/>
        <v>13.451375675395312</v>
      </c>
      <c r="AB49" s="2">
        <f t="shared" si="13"/>
        <v>1.0313461640028312</v>
      </c>
      <c r="AC49" s="2">
        <f t="shared" si="14"/>
        <v>1.912266609033034</v>
      </c>
      <c r="AD49" s="2">
        <f t="shared" si="19"/>
        <v>0.94013686944711905</v>
      </c>
      <c r="AE49" s="2">
        <f t="shared" si="20"/>
        <v>0.27346586045902621</v>
      </c>
    </row>
    <row r="50" spans="1:31" x14ac:dyDescent="0.3">
      <c r="A50" s="23" t="s">
        <v>36</v>
      </c>
      <c r="B50" s="1" t="s">
        <v>33</v>
      </c>
      <c r="C50" s="1">
        <v>0.14498667075024099</v>
      </c>
      <c r="D50" s="1">
        <v>0.315930388219544</v>
      </c>
      <c r="F50" s="2">
        <v>9.81</v>
      </c>
      <c r="G50" s="2">
        <v>4000</v>
      </c>
      <c r="H50" s="18">
        <f t="shared" si="21"/>
        <v>0.1</v>
      </c>
      <c r="I50" s="2">
        <f t="shared" si="0"/>
        <v>0.05</v>
      </c>
      <c r="J50" s="2">
        <v>100</v>
      </c>
      <c r="K50" s="8">
        <v>1</v>
      </c>
      <c r="L50" s="2">
        <f t="shared" si="15"/>
        <v>568.9276960239456</v>
      </c>
      <c r="M50" s="4">
        <f t="shared" si="1"/>
        <v>1</v>
      </c>
      <c r="N50" s="2" t="s">
        <v>29</v>
      </c>
      <c r="O50" s="2" t="e">
        <f t="shared" si="16"/>
        <v>#VALUE!</v>
      </c>
      <c r="P50" s="2">
        <f t="shared" si="17"/>
        <v>0.684069611780456</v>
      </c>
      <c r="Q50" s="2">
        <f t="shared" si="18"/>
        <v>3.3550723039760544</v>
      </c>
      <c r="R50" s="2">
        <f t="shared" si="3"/>
        <v>0.15701547639791011</v>
      </c>
      <c r="S50" s="2">
        <f t="shared" si="4"/>
        <v>21.367780940737322</v>
      </c>
      <c r="T50" s="5">
        <f t="shared" si="5"/>
        <v>2.9805616970308285E-2</v>
      </c>
      <c r="U50" s="5">
        <f t="shared" si="6"/>
        <v>3924</v>
      </c>
      <c r="V50" s="2">
        <f t="shared" si="7"/>
        <v>3355.0723039760542</v>
      </c>
      <c r="W50" s="2">
        <f t="shared" si="8"/>
        <v>45026.040659628758</v>
      </c>
      <c r="X50" s="2">
        <f t="shared" si="9"/>
        <v>1.1695724099148972</v>
      </c>
      <c r="Y50" s="12">
        <f t="shared" si="10"/>
        <v>0.14498667075024099</v>
      </c>
      <c r="Z50" s="2">
        <f t="shared" si="11"/>
        <v>11.474526161984903</v>
      </c>
      <c r="AA50" s="2">
        <f t="shared" si="12"/>
        <v>13.420289215904218</v>
      </c>
      <c r="AB50" s="2">
        <f t="shared" si="13"/>
        <v>1.0318235193770664</v>
      </c>
      <c r="AC50" s="2">
        <f t="shared" si="14"/>
        <v>1.903519400650918</v>
      </c>
      <c r="AD50" s="2">
        <f t="shared" si="19"/>
        <v>0.93926719441317053</v>
      </c>
      <c r="AE50" s="2">
        <f t="shared" si="20"/>
        <v>0.27598494060887074</v>
      </c>
    </row>
    <row r="51" spans="1:31" x14ac:dyDescent="0.3">
      <c r="A51" s="23" t="s">
        <v>36</v>
      </c>
      <c r="B51" s="1" t="s">
        <v>33</v>
      </c>
      <c r="C51" s="1">
        <v>0.13564252911605401</v>
      </c>
      <c r="D51" s="1">
        <v>0.30789825970548801</v>
      </c>
      <c r="F51" s="2">
        <v>9.81</v>
      </c>
      <c r="G51" s="2">
        <v>4000</v>
      </c>
      <c r="H51" s="18">
        <f t="shared" si="21"/>
        <v>0.1</v>
      </c>
      <c r="I51" s="2">
        <f t="shared" si="0"/>
        <v>0.05</v>
      </c>
      <c r="J51" s="2">
        <v>100</v>
      </c>
      <c r="K51" s="8">
        <v>1</v>
      </c>
      <c r="L51" s="2">
        <f t="shared" si="15"/>
        <v>532.26128425139598</v>
      </c>
      <c r="M51" s="4">
        <f t="shared" si="1"/>
        <v>1</v>
      </c>
      <c r="N51" s="2" t="s">
        <v>29</v>
      </c>
      <c r="O51" s="2" t="e">
        <f t="shared" si="16"/>
        <v>#VALUE!</v>
      </c>
      <c r="P51" s="2">
        <f t="shared" si="17"/>
        <v>0.69210174029451199</v>
      </c>
      <c r="Q51" s="2">
        <f t="shared" si="18"/>
        <v>3.3917387157486041</v>
      </c>
      <c r="R51" s="2">
        <f t="shared" si="3"/>
        <v>0.14051481956155018</v>
      </c>
      <c r="S51" s="2">
        <f t="shared" si="4"/>
        <v>24.137943074843498</v>
      </c>
      <c r="T51" s="5">
        <f t="shared" si="5"/>
        <v>2.9483403168904951E-2</v>
      </c>
      <c r="U51" s="5">
        <f t="shared" si="6"/>
        <v>3924</v>
      </c>
      <c r="V51" s="2">
        <f t="shared" si="7"/>
        <v>3391.7387157486041</v>
      </c>
      <c r="W51" s="2">
        <f t="shared" si="8"/>
        <v>46015.566063631959</v>
      </c>
      <c r="X51" s="2">
        <f t="shared" si="9"/>
        <v>1.1569287403478303</v>
      </c>
      <c r="Y51" s="12">
        <f t="shared" si="10"/>
        <v>0.13564252911605401</v>
      </c>
      <c r="Z51" s="2">
        <f t="shared" si="11"/>
        <v>11.726698792974505</v>
      </c>
      <c r="AA51" s="2">
        <f t="shared" si="12"/>
        <v>13.566954862994416</v>
      </c>
      <c r="AB51" s="2">
        <f t="shared" si="13"/>
        <v>1.0295829025625045</v>
      </c>
      <c r="AC51" s="2">
        <f t="shared" si="14"/>
        <v>1.9462623156509051</v>
      </c>
      <c r="AD51" s="2">
        <f t="shared" si="19"/>
        <v>0.94335977957737771</v>
      </c>
      <c r="AE51" s="2">
        <f t="shared" si="20"/>
        <v>0.26399594281815664</v>
      </c>
    </row>
    <row r="52" spans="1:31" x14ac:dyDescent="0.3">
      <c r="A52" s="23" t="s">
        <v>36</v>
      </c>
      <c r="B52" s="1" t="s">
        <v>33</v>
      </c>
      <c r="C52" s="1">
        <v>0.162195646052846</v>
      </c>
      <c r="D52" s="1">
        <v>0.33868808567603698</v>
      </c>
      <c r="F52" s="2">
        <v>9.81</v>
      </c>
      <c r="G52" s="2">
        <v>4000</v>
      </c>
      <c r="H52" s="18">
        <f t="shared" si="21"/>
        <v>0.1</v>
      </c>
      <c r="I52" s="2">
        <f t="shared" si="0"/>
        <v>0.05</v>
      </c>
      <c r="J52" s="2">
        <v>100</v>
      </c>
      <c r="K52" s="8">
        <v>1</v>
      </c>
      <c r="L52" s="2">
        <f t="shared" si="15"/>
        <v>636.45571511136768</v>
      </c>
      <c r="M52" s="4">
        <f t="shared" si="1"/>
        <v>1</v>
      </c>
      <c r="N52" s="2" t="s">
        <v>29</v>
      </c>
      <c r="O52" s="2" t="e">
        <f t="shared" si="16"/>
        <v>#VALUE!</v>
      </c>
      <c r="P52" s="2">
        <f t="shared" si="17"/>
        <v>0.66131191432396297</v>
      </c>
      <c r="Q52" s="2">
        <f t="shared" si="18"/>
        <v>3.2875442848886327</v>
      </c>
      <c r="R52" s="2">
        <f t="shared" si="3"/>
        <v>0.18928999157715393</v>
      </c>
      <c r="S52" s="2">
        <f t="shared" si="4"/>
        <v>17.367766026597561</v>
      </c>
      <c r="T52" s="5">
        <f t="shared" si="5"/>
        <v>3.0417841201304932E-2</v>
      </c>
      <c r="U52" s="5">
        <f t="shared" si="6"/>
        <v>3924</v>
      </c>
      <c r="V52" s="2">
        <f t="shared" si="7"/>
        <v>3287.5442848886323</v>
      </c>
      <c r="W52" s="2">
        <f t="shared" si="8"/>
        <v>43231.789700415648</v>
      </c>
      <c r="X52" s="2">
        <f t="shared" si="9"/>
        <v>1.1935960887392056</v>
      </c>
      <c r="Y52" s="12">
        <f t="shared" si="10"/>
        <v>0.162195646052846</v>
      </c>
      <c r="Z52" s="2">
        <f t="shared" si="11"/>
        <v>11.01727566269512</v>
      </c>
      <c r="AA52" s="2">
        <f t="shared" si="12"/>
        <v>13.150177139554533</v>
      </c>
      <c r="AB52" s="2">
        <f t="shared" si="13"/>
        <v>1.0360279629321478</v>
      </c>
      <c r="AC52" s="2">
        <f t="shared" si="14"/>
        <v>1.8336661563346099</v>
      </c>
      <c r="AD52" s="2">
        <f t="shared" si="19"/>
        <v>0.93165913195521999</v>
      </c>
      <c r="AE52" s="2">
        <f t="shared" si="20"/>
        <v>0.29741266687193102</v>
      </c>
    </row>
    <row r="53" spans="1:31" x14ac:dyDescent="0.3">
      <c r="A53" s="23" t="s">
        <v>36</v>
      </c>
      <c r="B53" s="1" t="s">
        <v>33</v>
      </c>
      <c r="C53" s="1">
        <v>0.16120570844262599</v>
      </c>
      <c r="D53" s="1">
        <v>0.35073627844712102</v>
      </c>
      <c r="F53" s="2">
        <v>9.81</v>
      </c>
      <c r="G53" s="2">
        <v>4000</v>
      </c>
      <c r="H53" s="18">
        <f t="shared" si="21"/>
        <v>0.1</v>
      </c>
      <c r="I53" s="2">
        <f t="shared" si="0"/>
        <v>0.05</v>
      </c>
      <c r="J53" s="2">
        <v>100</v>
      </c>
      <c r="K53" s="8">
        <v>1</v>
      </c>
      <c r="L53" s="2">
        <f t="shared" si="15"/>
        <v>632.57119992886442</v>
      </c>
      <c r="M53" s="4">
        <f t="shared" si="1"/>
        <v>1</v>
      </c>
      <c r="N53" s="2" t="s">
        <v>29</v>
      </c>
      <c r="O53" s="2" t="e">
        <f t="shared" si="16"/>
        <v>#VALUE!</v>
      </c>
      <c r="P53" s="2">
        <f t="shared" si="17"/>
        <v>0.64926372155287893</v>
      </c>
      <c r="Q53" s="2">
        <f t="shared" si="18"/>
        <v>3.2914288000711363</v>
      </c>
      <c r="R53" s="2">
        <f t="shared" si="3"/>
        <v>0.18736840488956552</v>
      </c>
      <c r="S53" s="2">
        <f t="shared" si="4"/>
        <v>17.566615897760865</v>
      </c>
      <c r="T53" s="5">
        <f t="shared" si="5"/>
        <v>3.0381942333930715E-2</v>
      </c>
      <c r="U53" s="5">
        <f t="shared" si="6"/>
        <v>3924</v>
      </c>
      <c r="V53" s="2">
        <f t="shared" si="7"/>
        <v>3291.4288000711358</v>
      </c>
      <c r="W53" s="2">
        <f t="shared" si="8"/>
        <v>43334.014183750878</v>
      </c>
      <c r="X53" s="2">
        <f t="shared" si="9"/>
        <v>1.192187417183441</v>
      </c>
      <c r="Y53" s="12">
        <f t="shared" si="10"/>
        <v>0.16120570844262599</v>
      </c>
      <c r="Z53" s="2">
        <f t="shared" si="11"/>
        <v>11.043326754268827</v>
      </c>
      <c r="AA53" s="2">
        <f t="shared" si="12"/>
        <v>13.165715200284547</v>
      </c>
      <c r="AB53" s="2">
        <f t="shared" si="13"/>
        <v>1.0357833051984791</v>
      </c>
      <c r="AC53" s="2">
        <f t="shared" si="14"/>
        <v>1.8374119130026989</v>
      </c>
      <c r="AD53" s="2">
        <f t="shared" si="19"/>
        <v>0.93209930999379764</v>
      </c>
      <c r="AE53" s="2">
        <f t="shared" si="20"/>
        <v>0.29620128913652077</v>
      </c>
    </row>
    <row r="54" spans="1:31" x14ac:dyDescent="0.3">
      <c r="A54" s="23" t="s">
        <v>36</v>
      </c>
      <c r="B54" s="1" t="s">
        <v>33</v>
      </c>
      <c r="C54" s="1">
        <v>0.17892842382238999</v>
      </c>
      <c r="D54" s="1">
        <v>0.32931726907630499</v>
      </c>
      <c r="F54" s="2">
        <v>9.81</v>
      </c>
      <c r="G54" s="2">
        <v>4000</v>
      </c>
      <c r="H54" s="18">
        <f t="shared" si="21"/>
        <v>0.1</v>
      </c>
      <c r="I54" s="2">
        <f t="shared" si="0"/>
        <v>0.05</v>
      </c>
      <c r="J54" s="2">
        <v>100</v>
      </c>
      <c r="K54" s="8">
        <v>1</v>
      </c>
      <c r="L54" s="2">
        <f t="shared" si="15"/>
        <v>702.11513507905829</v>
      </c>
      <c r="M54" s="4">
        <f t="shared" si="1"/>
        <v>1</v>
      </c>
      <c r="N54" s="2" t="s">
        <v>29</v>
      </c>
      <c r="O54" s="2" t="e">
        <f t="shared" si="16"/>
        <v>#VALUE!</v>
      </c>
      <c r="P54" s="2">
        <f t="shared" si="17"/>
        <v>0.67068273092369501</v>
      </c>
      <c r="Q54" s="2">
        <f t="shared" si="18"/>
        <v>3.2218848649209417</v>
      </c>
      <c r="R54" s="2">
        <f t="shared" si="3"/>
        <v>0.22294336872716597</v>
      </c>
      <c r="S54" s="2">
        <f t="shared" si="4"/>
        <v>14.45158419967999</v>
      </c>
      <c r="T54" s="5">
        <f t="shared" si="5"/>
        <v>3.1037732318983345E-2</v>
      </c>
      <c r="U54" s="5">
        <f t="shared" si="6"/>
        <v>3924</v>
      </c>
      <c r="V54" s="2">
        <f t="shared" si="7"/>
        <v>3221.8848649209413</v>
      </c>
      <c r="W54" s="2">
        <f t="shared" si="8"/>
        <v>41522.168331226538</v>
      </c>
      <c r="X54" s="2">
        <f t="shared" si="9"/>
        <v>1.2179206161969065</v>
      </c>
      <c r="Y54" s="12">
        <f t="shared" si="10"/>
        <v>0.17892842382238999</v>
      </c>
      <c r="Z54" s="2">
        <f t="shared" si="11"/>
        <v>10.581592337213694</v>
      </c>
      <c r="AA54" s="2">
        <f t="shared" si="12"/>
        <v>12.887539459683769</v>
      </c>
      <c r="AB54" s="2">
        <f t="shared" si="13"/>
        <v>1.0402166391396817</v>
      </c>
      <c r="AC54" s="2">
        <f t="shared" si="14"/>
        <v>1.7746261955171696</v>
      </c>
      <c r="AD54" s="2">
        <f t="shared" si="19"/>
        <v>0.92417115052602383</v>
      </c>
      <c r="AE54" s="2">
        <f t="shared" si="20"/>
        <v>0.31753106803781167</v>
      </c>
    </row>
    <row r="55" spans="1:31" x14ac:dyDescent="0.3">
      <c r="A55" s="23" t="s">
        <v>36</v>
      </c>
      <c r="B55" s="1" t="s">
        <v>33</v>
      </c>
      <c r="C55" s="1">
        <v>0.17402747521451101</v>
      </c>
      <c r="D55" s="1">
        <v>0.29049531459170003</v>
      </c>
      <c r="F55" s="2">
        <v>9.81</v>
      </c>
      <c r="G55" s="2">
        <v>4000</v>
      </c>
      <c r="H55" s="18">
        <f t="shared" si="21"/>
        <v>0.1</v>
      </c>
      <c r="I55" s="2">
        <f t="shared" si="0"/>
        <v>0.05</v>
      </c>
      <c r="J55" s="2">
        <v>100</v>
      </c>
      <c r="K55" s="8">
        <v>1</v>
      </c>
      <c r="L55" s="2">
        <f t="shared" si="15"/>
        <v>682.88381274174117</v>
      </c>
      <c r="M55" s="4">
        <f t="shared" si="1"/>
        <v>1</v>
      </c>
      <c r="N55" s="2" t="s">
        <v>29</v>
      </c>
      <c r="O55" s="2" t="e">
        <f t="shared" si="16"/>
        <v>#VALUE!</v>
      </c>
      <c r="P55" s="2">
        <f t="shared" si="17"/>
        <v>0.70950468540830003</v>
      </c>
      <c r="Q55" s="2">
        <f t="shared" si="18"/>
        <v>3.241116187258259</v>
      </c>
      <c r="R55" s="2">
        <f t="shared" si="3"/>
        <v>0.21285900670603761</v>
      </c>
      <c r="S55" s="2">
        <f t="shared" si="4"/>
        <v>15.226587013695422</v>
      </c>
      <c r="T55" s="5">
        <f t="shared" si="5"/>
        <v>3.0853568407429567E-2</v>
      </c>
      <c r="U55" s="5">
        <f t="shared" si="6"/>
        <v>3924</v>
      </c>
      <c r="V55" s="2">
        <f t="shared" si="7"/>
        <v>3241.1161872582588</v>
      </c>
      <c r="W55" s="2">
        <f t="shared" si="8"/>
        <v>42019.336557230054</v>
      </c>
      <c r="X55" s="2">
        <f t="shared" si="9"/>
        <v>1.2106940243075364</v>
      </c>
      <c r="Y55" s="12">
        <f t="shared" si="10"/>
        <v>0.17402747521451101</v>
      </c>
      <c r="Z55" s="2">
        <f t="shared" si="11"/>
        <v>10.708291681251287</v>
      </c>
      <c r="AA55" s="2">
        <f t="shared" si="12"/>
        <v>12.964464749033036</v>
      </c>
      <c r="AB55" s="2">
        <f t="shared" si="13"/>
        <v>1.0389792635125563</v>
      </c>
      <c r="AC55" s="2">
        <f t="shared" si="14"/>
        <v>1.7911311773246434</v>
      </c>
      <c r="AD55" s="2">
        <f t="shared" si="19"/>
        <v>0.92637375042864534</v>
      </c>
      <c r="AE55" s="2">
        <f t="shared" si="20"/>
        <v>0.31170603656780227</v>
      </c>
    </row>
    <row r="56" spans="1:31" x14ac:dyDescent="0.3">
      <c r="A56" s="23" t="s">
        <v>36</v>
      </c>
      <c r="B56" s="1" t="s">
        <v>33</v>
      </c>
      <c r="C56" s="1">
        <v>0.17009604634198899</v>
      </c>
      <c r="D56" s="1">
        <v>0.28112449799196798</v>
      </c>
      <c r="F56" s="2">
        <v>9.81</v>
      </c>
      <c r="G56" s="2">
        <v>4000</v>
      </c>
      <c r="H56" s="18">
        <f t="shared" si="21"/>
        <v>0.1</v>
      </c>
      <c r="I56" s="2">
        <f t="shared" si="0"/>
        <v>0.05</v>
      </c>
      <c r="J56" s="2">
        <v>100</v>
      </c>
      <c r="K56" s="8">
        <v>1</v>
      </c>
      <c r="L56" s="2">
        <f t="shared" si="15"/>
        <v>667.45688584596485</v>
      </c>
      <c r="M56" s="4">
        <f t="shared" si="1"/>
        <v>1</v>
      </c>
      <c r="N56" s="2" t="s">
        <v>29</v>
      </c>
      <c r="O56" s="2" t="e">
        <f t="shared" si="16"/>
        <v>#VALUE!</v>
      </c>
      <c r="P56" s="2">
        <f t="shared" si="17"/>
        <v>0.71887550200803196</v>
      </c>
      <c r="Q56" s="2">
        <f t="shared" si="18"/>
        <v>3.2565431141540353</v>
      </c>
      <c r="R56" s="2">
        <f t="shared" si="3"/>
        <v>0.20490506665034866</v>
      </c>
      <c r="S56" s="2">
        <f t="shared" si="4"/>
        <v>15.892936018566205</v>
      </c>
      <c r="T56" s="5">
        <f t="shared" si="5"/>
        <v>3.070740859083556E-2</v>
      </c>
      <c r="U56" s="5">
        <f t="shared" si="6"/>
        <v>3924</v>
      </c>
      <c r="V56" s="2">
        <f t="shared" si="7"/>
        <v>3256.5431141540353</v>
      </c>
      <c r="W56" s="2">
        <f t="shared" si="8"/>
        <v>42420.292217376249</v>
      </c>
      <c r="X56" s="2">
        <f t="shared" si="9"/>
        <v>1.2049587131043873</v>
      </c>
      <c r="Y56" s="12">
        <f t="shared" si="10"/>
        <v>0.17009604634198899</v>
      </c>
      <c r="Z56" s="2">
        <f t="shared" si="11"/>
        <v>10.810472022776821</v>
      </c>
      <c r="AA56" s="2">
        <f t="shared" si="12"/>
        <v>13.026172456616141</v>
      </c>
      <c r="AB56" s="2">
        <f t="shared" si="13"/>
        <v>1.0379930204394767</v>
      </c>
      <c r="AC56" s="2">
        <f t="shared" si="14"/>
        <v>1.8048256740792707</v>
      </c>
      <c r="AD56" s="2">
        <f t="shared" si="19"/>
        <v>0.92813496407157425</v>
      </c>
      <c r="AE56" s="2">
        <f t="shared" si="20"/>
        <v>0.30699371149739918</v>
      </c>
    </row>
    <row r="57" spans="1:31" x14ac:dyDescent="0.3">
      <c r="A57" s="23" t="s">
        <v>36</v>
      </c>
      <c r="B57" s="1" t="s">
        <v>33</v>
      </c>
      <c r="C57" s="1">
        <v>0.170098680906487</v>
      </c>
      <c r="D57" s="1">
        <v>0.27576974564926299</v>
      </c>
      <c r="F57" s="2">
        <v>9.81</v>
      </c>
      <c r="G57" s="2">
        <v>4000</v>
      </c>
      <c r="H57" s="18">
        <f t="shared" si="21"/>
        <v>0.1</v>
      </c>
      <c r="I57" s="2">
        <f t="shared" si="0"/>
        <v>0.05</v>
      </c>
      <c r="J57" s="2">
        <v>100</v>
      </c>
      <c r="K57" s="8">
        <v>1</v>
      </c>
      <c r="L57" s="2">
        <f t="shared" si="15"/>
        <v>667.46722387705495</v>
      </c>
      <c r="M57" s="4">
        <f t="shared" si="1"/>
        <v>1</v>
      </c>
      <c r="N57" s="2" t="s">
        <v>29</v>
      </c>
      <c r="O57" s="2" t="e">
        <f t="shared" si="16"/>
        <v>#VALUE!</v>
      </c>
      <c r="P57" s="2">
        <f t="shared" si="17"/>
        <v>0.72423025435073707</v>
      </c>
      <c r="Q57" s="2">
        <f t="shared" si="18"/>
        <v>3.256532776122945</v>
      </c>
      <c r="R57" s="2">
        <f t="shared" si="3"/>
        <v>0.20491035619521425</v>
      </c>
      <c r="S57" s="2">
        <f t="shared" si="4"/>
        <v>15.892475307692635</v>
      </c>
      <c r="T57" s="5">
        <f t="shared" si="5"/>
        <v>3.0707506073086324E-2</v>
      </c>
      <c r="U57" s="5">
        <f t="shared" si="6"/>
        <v>3924</v>
      </c>
      <c r="V57" s="2">
        <f t="shared" si="7"/>
        <v>3256.5327761229446</v>
      </c>
      <c r="W57" s="2">
        <f t="shared" si="8"/>
        <v>42420.022887852057</v>
      </c>
      <c r="X57" s="2">
        <f t="shared" si="9"/>
        <v>1.2049625383079074</v>
      </c>
      <c r="Y57" s="12">
        <f t="shared" si="10"/>
        <v>0.170098680906487</v>
      </c>
      <c r="Z57" s="2">
        <f t="shared" si="11"/>
        <v>10.810403386302767</v>
      </c>
      <c r="AA57" s="2">
        <f t="shared" si="12"/>
        <v>13.02613110449178</v>
      </c>
      <c r="AB57" s="2">
        <f t="shared" si="13"/>
        <v>1.0379936794711051</v>
      </c>
      <c r="AC57" s="2">
        <f t="shared" si="14"/>
        <v>1.8048163560485651</v>
      </c>
      <c r="AD57" s="2">
        <f t="shared" si="19"/>
        <v>0.92813378550928705</v>
      </c>
      <c r="AE57" s="2">
        <f t="shared" si="20"/>
        <v>0.30699688144231352</v>
      </c>
    </row>
    <row r="58" spans="1:31" x14ac:dyDescent="0.3">
      <c r="A58" s="23" t="s">
        <v>36</v>
      </c>
      <c r="B58" s="1" t="s">
        <v>33</v>
      </c>
      <c r="C58" s="1">
        <v>0.18535873712150699</v>
      </c>
      <c r="D58" s="1">
        <v>0.259705488621151</v>
      </c>
      <c r="F58" s="2">
        <v>9.81</v>
      </c>
      <c r="G58" s="2">
        <v>4000</v>
      </c>
      <c r="H58" s="18">
        <f t="shared" si="21"/>
        <v>0.1</v>
      </c>
      <c r="I58" s="2">
        <f t="shared" si="0"/>
        <v>0.05</v>
      </c>
      <c r="J58" s="2">
        <v>100</v>
      </c>
      <c r="K58" s="8">
        <v>1</v>
      </c>
      <c r="L58" s="2">
        <f t="shared" si="15"/>
        <v>727.34768446479347</v>
      </c>
      <c r="M58" s="4">
        <f t="shared" si="1"/>
        <v>1</v>
      </c>
      <c r="N58" s="2" t="s">
        <v>29</v>
      </c>
      <c r="O58" s="2" t="e">
        <f t="shared" si="16"/>
        <v>#VALUE!</v>
      </c>
      <c r="P58" s="2">
        <f t="shared" si="17"/>
        <v>0.74029451137884905</v>
      </c>
      <c r="Q58" s="2">
        <f t="shared" si="18"/>
        <v>3.1966523155352071</v>
      </c>
      <c r="R58" s="2">
        <f t="shared" si="3"/>
        <v>0.23645623407212976</v>
      </c>
      <c r="S58" s="2">
        <f t="shared" si="4"/>
        <v>13.519002060060235</v>
      </c>
      <c r="T58" s="5">
        <f t="shared" si="5"/>
        <v>3.1282726467941599E-2</v>
      </c>
      <c r="U58" s="5">
        <f t="shared" si="6"/>
        <v>3924</v>
      </c>
      <c r="V58" s="2">
        <f t="shared" si="7"/>
        <v>3196.652315535207</v>
      </c>
      <c r="W58" s="2">
        <f t="shared" si="8"/>
        <v>40874.344105666401</v>
      </c>
      <c r="X58" s="2">
        <f t="shared" si="9"/>
        <v>1.2275341866020282</v>
      </c>
      <c r="Y58" s="12">
        <f t="shared" si="10"/>
        <v>0.18535873712150699</v>
      </c>
      <c r="Z58" s="2">
        <f t="shared" si="11"/>
        <v>10.41649951724424</v>
      </c>
      <c r="AA58" s="2">
        <f t="shared" si="12"/>
        <v>12.786609262140828</v>
      </c>
      <c r="AB58" s="2">
        <f t="shared" si="13"/>
        <v>1.0418536539245173</v>
      </c>
      <c r="AC58" s="2">
        <f t="shared" si="14"/>
        <v>1.7538629186475645</v>
      </c>
      <c r="AD58" s="2">
        <f t="shared" si="19"/>
        <v>0.92126922035181513</v>
      </c>
      <c r="AE58" s="2">
        <f t="shared" si="20"/>
        <v>0.32509381568475298</v>
      </c>
    </row>
    <row r="59" spans="1:31" x14ac:dyDescent="0.3">
      <c r="A59" s="23" t="s">
        <v>36</v>
      </c>
      <c r="B59" s="1" t="s">
        <v>33</v>
      </c>
      <c r="C59" s="1">
        <v>0.197176734819557</v>
      </c>
      <c r="D59" s="1">
        <v>0.23962516733601</v>
      </c>
      <c r="F59" s="2">
        <v>9.81</v>
      </c>
      <c r="G59" s="2">
        <v>4000</v>
      </c>
      <c r="H59" s="18">
        <f t="shared" si="21"/>
        <v>0.1</v>
      </c>
      <c r="I59" s="2">
        <f t="shared" si="0"/>
        <v>0.05</v>
      </c>
      <c r="J59" s="2">
        <v>100</v>
      </c>
      <c r="K59" s="8">
        <v>1</v>
      </c>
      <c r="L59" s="2">
        <f t="shared" si="15"/>
        <v>773.72150743194163</v>
      </c>
      <c r="M59" s="4">
        <f t="shared" si="1"/>
        <v>1</v>
      </c>
      <c r="N59" s="2" t="s">
        <v>29</v>
      </c>
      <c r="O59" s="2" t="e">
        <f t="shared" si="16"/>
        <v>#VALUE!</v>
      </c>
      <c r="P59" s="2">
        <f t="shared" si="17"/>
        <v>0.76037483266398997</v>
      </c>
      <c r="Q59" s="2">
        <f t="shared" si="18"/>
        <v>3.1502784925680589</v>
      </c>
      <c r="R59" s="2">
        <f t="shared" si="3"/>
        <v>0.26211293270505387</v>
      </c>
      <c r="S59" s="2">
        <f t="shared" si="4"/>
        <v>12.018783125489472</v>
      </c>
      <c r="T59" s="5">
        <f t="shared" si="5"/>
        <v>3.1743225316718443E-2</v>
      </c>
      <c r="U59" s="5">
        <f t="shared" si="6"/>
        <v>3924</v>
      </c>
      <c r="V59" s="2">
        <f t="shared" si="7"/>
        <v>3150.2784925680585</v>
      </c>
      <c r="W59" s="2">
        <f t="shared" si="8"/>
        <v>39697.01832294753</v>
      </c>
      <c r="X59" s="2">
        <f t="shared" si="9"/>
        <v>1.2456041614280315</v>
      </c>
      <c r="Y59" s="12">
        <f t="shared" si="10"/>
        <v>0.197176734819557</v>
      </c>
      <c r="Z59" s="2">
        <f t="shared" si="11"/>
        <v>10.116467462524854</v>
      </c>
      <c r="AA59" s="2">
        <f t="shared" si="12"/>
        <v>12.601113970272239</v>
      </c>
      <c r="AB59" s="2">
        <f t="shared" si="13"/>
        <v>1.0449030818628717</v>
      </c>
      <c r="AC59" s="2">
        <f t="shared" si="14"/>
        <v>1.7180987023221976</v>
      </c>
      <c r="AD59" s="2">
        <f t="shared" si="19"/>
        <v>0.91589983293931143</v>
      </c>
      <c r="AE59" s="2">
        <f t="shared" si="20"/>
        <v>0.338769092221609</v>
      </c>
    </row>
    <row r="60" spans="1:31" x14ac:dyDescent="0.3">
      <c r="A60" s="23" t="s">
        <v>36</v>
      </c>
      <c r="B60" s="1" t="s">
        <v>33</v>
      </c>
      <c r="C60" s="1">
        <v>0.20062011061877599</v>
      </c>
      <c r="D60" s="1">
        <v>0.240963855421686</v>
      </c>
      <c r="F60" s="2">
        <v>9.81</v>
      </c>
      <c r="G60" s="2">
        <v>4000</v>
      </c>
      <c r="H60" s="18">
        <f t="shared" si="21"/>
        <v>0.1</v>
      </c>
      <c r="I60" s="2">
        <f t="shared" si="0"/>
        <v>0.05</v>
      </c>
      <c r="J60" s="2">
        <v>100</v>
      </c>
      <c r="K60" s="8">
        <v>1</v>
      </c>
      <c r="L60" s="2">
        <f t="shared" si="15"/>
        <v>787.23331406807699</v>
      </c>
      <c r="M60" s="4">
        <f t="shared" si="1"/>
        <v>1</v>
      </c>
      <c r="N60" s="2" t="s">
        <v>29</v>
      </c>
      <c r="O60" s="2" t="e">
        <f t="shared" si="16"/>
        <v>#VALUE!</v>
      </c>
      <c r="P60" s="2">
        <f t="shared" si="17"/>
        <v>0.75903614457831403</v>
      </c>
      <c r="Q60" s="2">
        <f t="shared" si="18"/>
        <v>3.136766685931923</v>
      </c>
      <c r="R60" s="2">
        <f t="shared" si="3"/>
        <v>0.26978622706362421</v>
      </c>
      <c r="S60" s="2">
        <f t="shared" si="4"/>
        <v>11.626859977519064</v>
      </c>
      <c r="T60" s="5">
        <f t="shared" si="5"/>
        <v>3.1879961123181318E-2</v>
      </c>
      <c r="U60" s="5">
        <f t="shared" si="6"/>
        <v>3924</v>
      </c>
      <c r="V60" s="2">
        <f t="shared" si="7"/>
        <v>3136.7666859319229</v>
      </c>
      <c r="W60" s="2">
        <f t="shared" si="8"/>
        <v>39357.220967889356</v>
      </c>
      <c r="X60" s="2">
        <f t="shared" si="9"/>
        <v>1.2509696744736349</v>
      </c>
      <c r="Y60" s="12">
        <f t="shared" si="10"/>
        <v>0.20062011061877599</v>
      </c>
      <c r="Z60" s="2">
        <f t="shared" si="11"/>
        <v>10.029872825659877</v>
      </c>
      <c r="AA60" s="2">
        <f t="shared" si="12"/>
        <v>12.547066743727692</v>
      </c>
      <c r="AB60" s="2">
        <f t="shared" si="13"/>
        <v>1.0458017310730143</v>
      </c>
      <c r="AC60" s="2">
        <f t="shared" si="14"/>
        <v>1.7082123005377563</v>
      </c>
      <c r="AD60" s="2">
        <f t="shared" si="19"/>
        <v>0.91432645816460911</v>
      </c>
      <c r="AE60" s="2">
        <f t="shared" si="20"/>
        <v>0.34270174069423848</v>
      </c>
    </row>
    <row r="61" spans="1:31" x14ac:dyDescent="0.3">
      <c r="A61" s="23" t="s">
        <v>36</v>
      </c>
      <c r="B61" s="1" t="s">
        <v>33</v>
      </c>
      <c r="C61" s="1">
        <v>0.205040251205724</v>
      </c>
      <c r="D61" s="1">
        <v>0.25702811244979901</v>
      </c>
      <c r="F61" s="2">
        <v>9.81</v>
      </c>
      <c r="G61" s="2">
        <v>4000</v>
      </c>
      <c r="H61" s="18">
        <f t="shared" si="21"/>
        <v>0.1</v>
      </c>
      <c r="I61" s="2">
        <f t="shared" si="0"/>
        <v>0.05</v>
      </c>
      <c r="J61" s="2">
        <v>100</v>
      </c>
      <c r="K61" s="8">
        <v>1</v>
      </c>
      <c r="L61" s="2">
        <f t="shared" si="15"/>
        <v>804.57794573126102</v>
      </c>
      <c r="M61" s="4">
        <f t="shared" si="1"/>
        <v>1</v>
      </c>
      <c r="N61" s="2" t="s">
        <v>29</v>
      </c>
      <c r="O61" s="2" t="e">
        <f t="shared" si="16"/>
        <v>#VALUE!</v>
      </c>
      <c r="P61" s="2">
        <f t="shared" si="17"/>
        <v>0.74297188755020094</v>
      </c>
      <c r="Q61" s="2">
        <f t="shared" si="18"/>
        <v>3.119422054268739</v>
      </c>
      <c r="R61" s="2">
        <f t="shared" si="3"/>
        <v>0.27976553230204626</v>
      </c>
      <c r="S61" s="2">
        <f t="shared" si="4"/>
        <v>11.150129998504905</v>
      </c>
      <c r="T61" s="5">
        <f t="shared" si="5"/>
        <v>3.2057220299239755E-2</v>
      </c>
      <c r="U61" s="5">
        <f t="shared" si="6"/>
        <v>3924</v>
      </c>
      <c r="V61" s="2">
        <f t="shared" si="7"/>
        <v>3119.422054268739</v>
      </c>
      <c r="W61" s="2">
        <f t="shared" si="8"/>
        <v>38923.175810632798</v>
      </c>
      <c r="X61" s="2">
        <f t="shared" si="9"/>
        <v>1.257925324542168</v>
      </c>
      <c r="Y61" s="12">
        <f t="shared" si="10"/>
        <v>0.205040251205724</v>
      </c>
      <c r="Z61" s="2">
        <f t="shared" si="11"/>
        <v>9.9192598905792035</v>
      </c>
      <c r="AA61" s="2">
        <f t="shared" si="12"/>
        <v>12.477688217074956</v>
      </c>
      <c r="AB61" s="2">
        <f t="shared" si="13"/>
        <v>1.0469621278921575</v>
      </c>
      <c r="AC61" s="2">
        <f t="shared" si="14"/>
        <v>1.6958481354625301</v>
      </c>
      <c r="AD61" s="2">
        <f t="shared" si="19"/>
        <v>0.91230080027711813</v>
      </c>
      <c r="AE61" s="2">
        <f t="shared" si="20"/>
        <v>0.34771712770199592</v>
      </c>
    </row>
    <row r="62" spans="1:31" x14ac:dyDescent="0.3">
      <c r="A62" s="23" t="s">
        <v>36</v>
      </c>
      <c r="B62" s="1" t="s">
        <v>33</v>
      </c>
      <c r="C62" s="1">
        <v>0.199130923036138</v>
      </c>
      <c r="D62" s="1">
        <v>0.267737617135207</v>
      </c>
      <c r="F62" s="2">
        <v>9.81</v>
      </c>
      <c r="G62" s="2">
        <v>4000</v>
      </c>
      <c r="H62" s="18">
        <f t="shared" si="21"/>
        <v>0.1</v>
      </c>
      <c r="I62" s="2">
        <f t="shared" si="0"/>
        <v>0.05</v>
      </c>
      <c r="J62" s="2">
        <v>100</v>
      </c>
      <c r="K62" s="8">
        <v>1</v>
      </c>
      <c r="L62" s="2">
        <f t="shared" si="15"/>
        <v>781.3897419938055</v>
      </c>
      <c r="M62" s="4">
        <f t="shared" si="1"/>
        <v>1</v>
      </c>
      <c r="N62" s="2" t="s">
        <v>29</v>
      </c>
      <c r="O62" s="2" t="e">
        <f t="shared" si="16"/>
        <v>#VALUE!</v>
      </c>
      <c r="P62" s="2">
        <f t="shared" si="17"/>
        <v>0.73226238286479295</v>
      </c>
      <c r="Q62" s="2">
        <f t="shared" si="18"/>
        <v>3.1426102580061945</v>
      </c>
      <c r="R62" s="2">
        <f t="shared" si="3"/>
        <v>0.26645682177913593</v>
      </c>
      <c r="S62" s="2">
        <f t="shared" si="4"/>
        <v>11.794069436927686</v>
      </c>
      <c r="T62" s="5">
        <f t="shared" si="5"/>
        <v>3.1820681468609557E-2</v>
      </c>
      <c r="U62" s="5">
        <f t="shared" si="6"/>
        <v>3924</v>
      </c>
      <c r="V62" s="2">
        <f t="shared" si="7"/>
        <v>3142.6102580061943</v>
      </c>
      <c r="W62" s="2">
        <f t="shared" si="8"/>
        <v>39503.996934903043</v>
      </c>
      <c r="X62" s="2">
        <f t="shared" si="9"/>
        <v>1.248643540828239</v>
      </c>
      <c r="Y62" s="12">
        <f t="shared" si="10"/>
        <v>0.199130923036138</v>
      </c>
      <c r="Z62" s="2">
        <f t="shared" si="11"/>
        <v>10.067277506346342</v>
      </c>
      <c r="AA62" s="2">
        <f t="shared" si="12"/>
        <v>12.57044103202478</v>
      </c>
      <c r="AB62" s="2">
        <f t="shared" si="13"/>
        <v>1.0454125152426321</v>
      </c>
      <c r="AC62" s="2">
        <f t="shared" si="14"/>
        <v>1.7124599807212466</v>
      </c>
      <c r="AD62" s="2">
        <f t="shared" si="19"/>
        <v>0.91500740769068967</v>
      </c>
      <c r="AE62" s="2">
        <f t="shared" si="20"/>
        <v>0.34100373662346894</v>
      </c>
    </row>
    <row r="63" spans="1:31" x14ac:dyDescent="0.3">
      <c r="A63" s="23" t="s">
        <v>36</v>
      </c>
      <c r="B63" s="1" t="s">
        <v>33</v>
      </c>
      <c r="C63" s="1">
        <v>0.218795312451116</v>
      </c>
      <c r="D63" s="1">
        <v>0.29986613119143202</v>
      </c>
      <c r="F63" s="2">
        <v>9.81</v>
      </c>
      <c r="G63" s="2">
        <v>4000</v>
      </c>
      <c r="H63" s="18">
        <f t="shared" si="21"/>
        <v>0.1</v>
      </c>
      <c r="I63" s="2">
        <f t="shared" si="0"/>
        <v>0.05</v>
      </c>
      <c r="J63" s="2">
        <v>100</v>
      </c>
      <c r="K63" s="8">
        <v>1</v>
      </c>
      <c r="L63" s="2">
        <f t="shared" si="15"/>
        <v>858.55280605817916</v>
      </c>
      <c r="M63" s="4">
        <f t="shared" si="1"/>
        <v>1</v>
      </c>
      <c r="N63" s="2" t="s">
        <v>29</v>
      </c>
      <c r="O63" s="2" t="e">
        <f t="shared" si="16"/>
        <v>#VALUE!</v>
      </c>
      <c r="P63" s="2">
        <f t="shared" si="17"/>
        <v>0.70013386880856798</v>
      </c>
      <c r="Q63" s="2">
        <f t="shared" si="18"/>
        <v>3.0654471939418211</v>
      </c>
      <c r="R63" s="2">
        <f t="shared" si="3"/>
        <v>0.31173987302458073</v>
      </c>
      <c r="S63" s="2">
        <f t="shared" si="4"/>
        <v>9.833349722639138</v>
      </c>
      <c r="T63" s="5">
        <f t="shared" si="5"/>
        <v>3.2621667793732649E-2</v>
      </c>
      <c r="U63" s="5">
        <f t="shared" si="6"/>
        <v>3924</v>
      </c>
      <c r="V63" s="2">
        <f t="shared" si="7"/>
        <v>3065.4471939418208</v>
      </c>
      <c r="W63" s="2">
        <f t="shared" si="8"/>
        <v>37587.865995383145</v>
      </c>
      <c r="X63" s="2">
        <f t="shared" si="9"/>
        <v>1.2800742442260689</v>
      </c>
      <c r="Y63" s="12">
        <f t="shared" si="10"/>
        <v>0.218795312451116</v>
      </c>
      <c r="Z63" s="2">
        <f t="shared" si="11"/>
        <v>9.5789668693636969</v>
      </c>
      <c r="AA63" s="2">
        <f t="shared" si="12"/>
        <v>12.261788775767288</v>
      </c>
      <c r="AB63" s="2">
        <f t="shared" si="13"/>
        <v>1.0506233092614994</v>
      </c>
      <c r="AC63" s="2">
        <f t="shared" si="14"/>
        <v>1.6595384875858648</v>
      </c>
      <c r="AD63" s="2">
        <f t="shared" si="19"/>
        <v>0.90595356064381372</v>
      </c>
      <c r="AE63" s="2">
        <f t="shared" si="20"/>
        <v>0.36309924191600174</v>
      </c>
    </row>
    <row r="64" spans="1:31" x14ac:dyDescent="0.3">
      <c r="A64" s="23" t="s">
        <v>36</v>
      </c>
      <c r="B64" s="1" t="s">
        <v>33</v>
      </c>
      <c r="C64" s="1">
        <v>0.22079824011091501</v>
      </c>
      <c r="D64" s="1">
        <v>0.22891566265060201</v>
      </c>
      <c r="F64" s="2">
        <v>9.81</v>
      </c>
      <c r="G64" s="2">
        <v>4000</v>
      </c>
      <c r="H64" s="18">
        <f t="shared" si="21"/>
        <v>0.1</v>
      </c>
      <c r="I64" s="2">
        <f t="shared" si="0"/>
        <v>0.05</v>
      </c>
      <c r="J64" s="2">
        <v>100</v>
      </c>
      <c r="K64" s="8">
        <v>1</v>
      </c>
      <c r="L64" s="2">
        <f t="shared" si="15"/>
        <v>866.41229419523052</v>
      </c>
      <c r="M64" s="4">
        <f t="shared" si="1"/>
        <v>1</v>
      </c>
      <c r="N64" s="2" t="s">
        <v>29</v>
      </c>
      <c r="O64" s="2" t="e">
        <f t="shared" si="16"/>
        <v>#VALUE!</v>
      </c>
      <c r="P64" s="2">
        <f t="shared" si="17"/>
        <v>0.77108433734939796</v>
      </c>
      <c r="Q64" s="2">
        <f t="shared" si="18"/>
        <v>3.0575877058047696</v>
      </c>
      <c r="R64" s="2">
        <f t="shared" si="3"/>
        <v>0.31651066218761609</v>
      </c>
      <c r="S64" s="2">
        <f t="shared" si="4"/>
        <v>9.6602992286949938</v>
      </c>
      <c r="T64" s="5">
        <f t="shared" si="5"/>
        <v>3.2705521352716059E-2</v>
      </c>
      <c r="U64" s="5">
        <f t="shared" si="6"/>
        <v>3924</v>
      </c>
      <c r="V64" s="2">
        <f t="shared" si="7"/>
        <v>3057.5877058047695</v>
      </c>
      <c r="W64" s="2">
        <f t="shared" si="8"/>
        <v>37395.370314753898</v>
      </c>
      <c r="X64" s="2">
        <f t="shared" si="9"/>
        <v>1.2833646578805782</v>
      </c>
      <c r="Y64" s="12">
        <f t="shared" si="10"/>
        <v>0.22079824011091501</v>
      </c>
      <c r="Z64" s="2">
        <f t="shared" si="11"/>
        <v>9.5299108855132264</v>
      </c>
      <c r="AA64" s="2">
        <f t="shared" si="12"/>
        <v>12.230350823219078</v>
      </c>
      <c r="AB64" s="2">
        <f t="shared" si="13"/>
        <v>1.0511628773867985</v>
      </c>
      <c r="AC64" s="2">
        <f t="shared" si="14"/>
        <v>1.6545051785845741</v>
      </c>
      <c r="AD64" s="2">
        <f t="shared" si="19"/>
        <v>0.90502373669968894</v>
      </c>
      <c r="AE64" s="2">
        <f t="shared" si="20"/>
        <v>0.36531183168586912</v>
      </c>
    </row>
    <row r="65" spans="1:31" x14ac:dyDescent="0.3">
      <c r="A65" s="23" t="s">
        <v>36</v>
      </c>
      <c r="B65" s="1" t="s">
        <v>33</v>
      </c>
      <c r="C65" s="1">
        <v>0.22964642497830601</v>
      </c>
      <c r="D65" s="1">
        <v>0.24497991967871399</v>
      </c>
      <c r="F65" s="2">
        <v>9.81</v>
      </c>
      <c r="G65" s="2">
        <v>4000</v>
      </c>
      <c r="H65" s="18">
        <f t="shared" si="21"/>
        <v>0.1</v>
      </c>
      <c r="I65" s="2">
        <f t="shared" si="0"/>
        <v>0.05</v>
      </c>
      <c r="J65" s="2">
        <v>100</v>
      </c>
      <c r="K65" s="8">
        <v>1</v>
      </c>
      <c r="L65" s="2">
        <f t="shared" si="15"/>
        <v>901.13257161487275</v>
      </c>
      <c r="M65" s="4">
        <f t="shared" si="1"/>
        <v>1</v>
      </c>
      <c r="N65" s="2" t="s">
        <v>29</v>
      </c>
      <c r="O65" s="2" t="e">
        <f t="shared" si="16"/>
        <v>#VALUE!</v>
      </c>
      <c r="P65" s="2">
        <f t="shared" si="17"/>
        <v>0.75502008032128598</v>
      </c>
      <c r="Q65" s="2">
        <f t="shared" si="18"/>
        <v>3.0228674283851276</v>
      </c>
      <c r="R65" s="2">
        <f t="shared" si="3"/>
        <v>0.33793134764046129</v>
      </c>
      <c r="S65" s="2">
        <f t="shared" si="4"/>
        <v>8.9452116516910927</v>
      </c>
      <c r="T65" s="5">
        <f t="shared" si="5"/>
        <v>3.3081172882736008E-2</v>
      </c>
      <c r="U65" s="5">
        <f t="shared" si="6"/>
        <v>3924</v>
      </c>
      <c r="V65" s="2">
        <f t="shared" si="7"/>
        <v>3022.8674283851274</v>
      </c>
      <c r="W65" s="2">
        <f t="shared" si="8"/>
        <v>36550.909958366858</v>
      </c>
      <c r="X65" s="2">
        <f t="shared" si="9"/>
        <v>1.2981052239185609</v>
      </c>
      <c r="Y65" s="12">
        <f t="shared" si="10"/>
        <v>0.22964642497830601</v>
      </c>
      <c r="Z65" s="2">
        <f t="shared" si="11"/>
        <v>9.3147069210924709</v>
      </c>
      <c r="AA65" s="2">
        <f t="shared" si="12"/>
        <v>12.091469713540512</v>
      </c>
      <c r="AB65" s="2">
        <f t="shared" si="13"/>
        <v>1.0535665643142555</v>
      </c>
      <c r="AC65" s="2">
        <f t="shared" si="14"/>
        <v>1.632977134691816</v>
      </c>
      <c r="AD65" s="2">
        <f t="shared" si="19"/>
        <v>0.90089886743341518</v>
      </c>
      <c r="AE65" s="2">
        <f t="shared" si="20"/>
        <v>0.37500736105329324</v>
      </c>
    </row>
    <row r="66" spans="1:31" x14ac:dyDescent="0.3">
      <c r="A66" s="23" t="s">
        <v>36</v>
      </c>
      <c r="B66" s="1" t="s">
        <v>33</v>
      </c>
      <c r="C66" s="1">
        <v>0.23161773786412501</v>
      </c>
      <c r="D66" s="1">
        <v>0.238286479250334</v>
      </c>
      <c r="F66" s="2">
        <v>9.81</v>
      </c>
      <c r="G66" s="2">
        <v>4000</v>
      </c>
      <c r="H66" s="18">
        <f t="shared" si="21"/>
        <v>0.1</v>
      </c>
      <c r="I66" s="2">
        <f t="shared" si="0"/>
        <v>0.05</v>
      </c>
      <c r="J66" s="2">
        <v>100</v>
      </c>
      <c r="K66" s="8">
        <v>1</v>
      </c>
      <c r="L66" s="2">
        <f t="shared" si="15"/>
        <v>908.86800337882653</v>
      </c>
      <c r="M66" s="4">
        <f t="shared" si="1"/>
        <v>1</v>
      </c>
      <c r="N66" s="2" t="s">
        <v>29</v>
      </c>
      <c r="O66" s="2" t="e">
        <f t="shared" si="16"/>
        <v>#VALUE!</v>
      </c>
      <c r="P66" s="2">
        <f t="shared" si="17"/>
        <v>0.76171352074966603</v>
      </c>
      <c r="Q66" s="2">
        <f t="shared" si="18"/>
        <v>3.0151319966211734</v>
      </c>
      <c r="R66" s="2">
        <f t="shared" si="3"/>
        <v>0.34277990823565868</v>
      </c>
      <c r="S66" s="2">
        <f t="shared" si="4"/>
        <v>8.7961164705963224</v>
      </c>
      <c r="T66" s="5">
        <f t="shared" si="5"/>
        <v>3.3166043845530582E-2</v>
      </c>
      <c r="U66" s="5">
        <f t="shared" si="6"/>
        <v>3924</v>
      </c>
      <c r="V66" s="2">
        <f t="shared" si="7"/>
        <v>3015.1319966211736</v>
      </c>
      <c r="W66" s="2">
        <f t="shared" si="8"/>
        <v>36364.083828195136</v>
      </c>
      <c r="X66" s="2">
        <f t="shared" si="9"/>
        <v>1.3014355604986199</v>
      </c>
      <c r="Y66" s="12">
        <f t="shared" si="10"/>
        <v>0.23161773786412501</v>
      </c>
      <c r="Z66" s="2">
        <f t="shared" si="11"/>
        <v>9.267095776808139</v>
      </c>
      <c r="AA66" s="2">
        <f t="shared" si="12"/>
        <v>12.060527986484693</v>
      </c>
      <c r="AB66" s="2">
        <f t="shared" si="13"/>
        <v>1.0541066031378077</v>
      </c>
      <c r="AC66" s="2">
        <f t="shared" si="14"/>
        <v>1.6283311390885287</v>
      </c>
      <c r="AD66" s="2">
        <f t="shared" si="19"/>
        <v>0.89997600870878314</v>
      </c>
      <c r="AE66" s="2">
        <f t="shared" si="20"/>
        <v>0.37715037492939896</v>
      </c>
    </row>
    <row r="67" spans="1:31" x14ac:dyDescent="0.3">
      <c r="A67" s="23" t="s">
        <v>36</v>
      </c>
      <c r="B67" s="1" t="s">
        <v>33</v>
      </c>
      <c r="C67" s="1">
        <v>0.23211369463092199</v>
      </c>
      <c r="D67" s="1">
        <v>0.23025435073627801</v>
      </c>
      <c r="F67" s="2">
        <v>9.81</v>
      </c>
      <c r="G67" s="2">
        <v>4000</v>
      </c>
      <c r="H67" s="18">
        <f t="shared" si="21"/>
        <v>0.1</v>
      </c>
      <c r="I67" s="2">
        <f t="shared" si="0"/>
        <v>0.05</v>
      </c>
      <c r="J67" s="2">
        <v>100</v>
      </c>
      <c r="K67" s="8">
        <v>1</v>
      </c>
      <c r="L67" s="2">
        <f t="shared" si="15"/>
        <v>910.8141377317379</v>
      </c>
      <c r="M67" s="4">
        <f t="shared" si="1"/>
        <v>1</v>
      </c>
      <c r="N67" s="2" t="s">
        <v>29</v>
      </c>
      <c r="O67" s="2" t="e">
        <f t="shared" si="16"/>
        <v>#VALUE!</v>
      </c>
      <c r="P67" s="2">
        <f t="shared" si="17"/>
        <v>0.76974564926372202</v>
      </c>
      <c r="Q67" s="2">
        <f t="shared" si="18"/>
        <v>3.0131858622682621</v>
      </c>
      <c r="R67" s="2">
        <f t="shared" si="3"/>
        <v>0.34400409000882709</v>
      </c>
      <c r="S67" s="2">
        <f t="shared" si="4"/>
        <v>8.7591570849955431</v>
      </c>
      <c r="T67" s="5">
        <f t="shared" si="5"/>
        <v>3.3187464886325374E-2</v>
      </c>
      <c r="U67" s="5">
        <f t="shared" si="6"/>
        <v>3924</v>
      </c>
      <c r="V67" s="2">
        <f t="shared" si="7"/>
        <v>3013.1858622682621</v>
      </c>
      <c r="W67" s="2">
        <f t="shared" si="8"/>
        <v>36317.156162293322</v>
      </c>
      <c r="X67" s="2">
        <f t="shared" si="9"/>
        <v>1.3022761221394077</v>
      </c>
      <c r="Y67" s="12">
        <f t="shared" si="10"/>
        <v>0.23211369463092199</v>
      </c>
      <c r="Z67" s="2">
        <f t="shared" si="11"/>
        <v>9.2551366366700609</v>
      </c>
      <c r="AA67" s="2">
        <f t="shared" si="12"/>
        <v>12.052743449073049</v>
      </c>
      <c r="AB67" s="2">
        <f t="shared" si="13"/>
        <v>1.05424273169975</v>
      </c>
      <c r="AC67" s="2">
        <f t="shared" si="14"/>
        <v>1.6271705616997774</v>
      </c>
      <c r="AD67" s="2">
        <f t="shared" si="19"/>
        <v>0.89974360581619328</v>
      </c>
      <c r="AE67" s="2">
        <f t="shared" si="20"/>
        <v>0.37768857087080804</v>
      </c>
    </row>
    <row r="68" spans="1:31" x14ac:dyDescent="0.3">
      <c r="A68" s="23" t="s">
        <v>36</v>
      </c>
      <c r="B68" s="1" t="s">
        <v>33</v>
      </c>
      <c r="C68" s="1">
        <v>0.23260767547434499</v>
      </c>
      <c r="D68" s="1">
        <v>0.22623828647925001</v>
      </c>
      <c r="F68" s="2">
        <v>9.81</v>
      </c>
      <c r="G68" s="2">
        <v>4000</v>
      </c>
      <c r="H68" s="18">
        <f t="shared" si="21"/>
        <v>0.1</v>
      </c>
      <c r="I68" s="2">
        <f t="shared" ref="I68:I79" si="22">50/1000</f>
        <v>0.05</v>
      </c>
      <c r="J68" s="2">
        <v>100</v>
      </c>
      <c r="K68" s="8">
        <v>1</v>
      </c>
      <c r="L68" s="2">
        <f t="shared" si="15"/>
        <v>912.75251856132979</v>
      </c>
      <c r="M68" s="4">
        <f t="shared" ref="M68:M79" si="23">H68/I68/2</f>
        <v>1</v>
      </c>
      <c r="N68" s="2" t="s">
        <v>29</v>
      </c>
      <c r="O68" s="2" t="e">
        <f t="shared" si="16"/>
        <v>#VALUE!</v>
      </c>
      <c r="P68" s="2">
        <f t="shared" si="17"/>
        <v>0.77376171352074996</v>
      </c>
      <c r="Q68" s="2">
        <f t="shared" si="18"/>
        <v>3.0112474814386703</v>
      </c>
      <c r="R68" s="2">
        <f t="shared" si="3"/>
        <v>0.34522512919830811</v>
      </c>
      <c r="S68" s="2">
        <f t="shared" si="4"/>
        <v>8.722561675714271</v>
      </c>
      <c r="T68" s="5">
        <f t="shared" si="5"/>
        <v>3.3208828107420596E-2</v>
      </c>
      <c r="U68" s="5">
        <f t="shared" si="6"/>
        <v>3924</v>
      </c>
      <c r="V68" s="2">
        <f t="shared" si="7"/>
        <v>3011.2474814386701</v>
      </c>
      <c r="W68" s="2">
        <f t="shared" si="8"/>
        <v>36270.445577882936</v>
      </c>
      <c r="X68" s="2">
        <f t="shared" si="9"/>
        <v>1.3031144149351843</v>
      </c>
      <c r="Y68" s="12">
        <f t="shared" si="10"/>
        <v>0.23260767547434499</v>
      </c>
      <c r="Z68" s="2">
        <f t="shared" si="11"/>
        <v>9.2432328180129808</v>
      </c>
      <c r="AA68" s="2">
        <f t="shared" si="12"/>
        <v>12.044989925754681</v>
      </c>
      <c r="AB68" s="2">
        <f t="shared" si="13"/>
        <v>1.0543784228336719</v>
      </c>
      <c r="AC68" s="2">
        <f t="shared" si="14"/>
        <v>1.6260178901445688</v>
      </c>
      <c r="AD68" s="2">
        <f t="shared" si="19"/>
        <v>0.89951203929020618</v>
      </c>
      <c r="AE68" s="2">
        <f t="shared" si="20"/>
        <v>0.37822424170622698</v>
      </c>
    </row>
    <row r="69" spans="1:31" x14ac:dyDescent="0.3">
      <c r="A69" s="23" t="s">
        <v>36</v>
      </c>
      <c r="B69" s="1" t="s">
        <v>33</v>
      </c>
      <c r="C69" s="1">
        <v>0.24342256273968299</v>
      </c>
      <c r="D69" s="1">
        <v>0.24497991967871399</v>
      </c>
      <c r="F69" s="2">
        <v>9.81</v>
      </c>
      <c r="G69" s="2">
        <v>4000</v>
      </c>
      <c r="H69" s="18">
        <f t="shared" si="21"/>
        <v>0.1</v>
      </c>
      <c r="I69" s="2">
        <f t="shared" si="22"/>
        <v>0.05</v>
      </c>
      <c r="J69" s="2">
        <v>100</v>
      </c>
      <c r="K69" s="8">
        <v>1</v>
      </c>
      <c r="L69" s="2">
        <f t="shared" si="15"/>
        <v>955.190136190516</v>
      </c>
      <c r="M69" s="4">
        <f t="shared" si="23"/>
        <v>1</v>
      </c>
      <c r="N69" s="2" t="s">
        <v>29</v>
      </c>
      <c r="O69" s="2" t="e">
        <f t="shared" si="16"/>
        <v>#VALUE!</v>
      </c>
      <c r="P69" s="2">
        <f t="shared" si="17"/>
        <v>0.75502008032128598</v>
      </c>
      <c r="Q69" s="2">
        <f t="shared" si="18"/>
        <v>2.9688098638094842</v>
      </c>
      <c r="R69" s="2">
        <f t="shared" ref="R69:R79" si="24">(((L69^(((2*K69)+3)/3))*(H69^K69)*(1/J69))/((U69*M69)^(2*K69/3)))^(1/K69)</f>
        <v>0.37238917612504252</v>
      </c>
      <c r="S69" s="2">
        <f t="shared" ref="S69:S79" si="25">Q69/R69</f>
        <v>7.9723312441621657</v>
      </c>
      <c r="T69" s="5">
        <f t="shared" ref="T69:T79" si="26">(J69+(L69*H69/Q69))/U69</f>
        <v>3.3683531309641745E-2</v>
      </c>
      <c r="U69" s="5">
        <f t="shared" ref="U69:U79" si="27">F69*G69*H69</f>
        <v>3924</v>
      </c>
      <c r="V69" s="2">
        <f t="shared" ref="V69:V79" si="28">J69*((Q69/H69)^(K69))</f>
        <v>2968.8098638094839</v>
      </c>
      <c r="W69" s="2">
        <f t="shared" ref="W69:W79" si="29">G69*Q69*Q69</f>
        <v>35255.328029809956</v>
      </c>
      <c r="X69" s="2">
        <f t="shared" ref="X69:X79" si="30">U69/V69</f>
        <v>1.3217417685903421</v>
      </c>
      <c r="Y69" s="12">
        <f t="shared" ref="Y69:Y79" si="31">L69/U69</f>
        <v>0.24342256273968296</v>
      </c>
      <c r="Z69" s="2">
        <f t="shared" ref="Z69:Z79" si="32">W69/U69</f>
        <v>8.9845382338965223</v>
      </c>
      <c r="AA69" s="2">
        <f t="shared" ref="AA69:AA79" si="33">W69/V69</f>
        <v>11.875239455237939</v>
      </c>
      <c r="AB69" s="2">
        <f t="shared" ref="AB69:AB79" si="34">(X69*M69)^((1)/((2*K69)+3))</f>
        <v>1.0573756936897816</v>
      </c>
      <c r="AC69" s="2">
        <f t="shared" ref="AC69:AC79" si="35">((1/Y69)*M69)^(1/3)</f>
        <v>1.6015717137502088</v>
      </c>
      <c r="AD69" s="2">
        <f t="shared" si="19"/>
        <v>0.89441969597788085</v>
      </c>
      <c r="AE69" s="2">
        <f t="shared" si="20"/>
        <v>0.38985869097246179</v>
      </c>
    </row>
    <row r="70" spans="1:31" x14ac:dyDescent="0.3">
      <c r="A70" s="23" t="s">
        <v>36</v>
      </c>
      <c r="B70" s="1" t="s">
        <v>33</v>
      </c>
      <c r="C70" s="1">
        <v>0.24488408739508999</v>
      </c>
      <c r="D70" s="1">
        <v>0.27443105756358699</v>
      </c>
      <c r="F70" s="2">
        <v>9.81</v>
      </c>
      <c r="G70" s="2">
        <v>4000</v>
      </c>
      <c r="H70" s="18">
        <f t="shared" si="21"/>
        <v>0.1</v>
      </c>
      <c r="I70" s="2">
        <f t="shared" si="22"/>
        <v>0.05</v>
      </c>
      <c r="J70" s="2">
        <v>100</v>
      </c>
      <c r="K70" s="8">
        <v>1</v>
      </c>
      <c r="L70" s="2">
        <f t="shared" ref="L70:L79" si="36">C70*U70</f>
        <v>960.92515893833308</v>
      </c>
      <c r="M70" s="4">
        <f t="shared" si="23"/>
        <v>1</v>
      </c>
      <c r="N70" s="2" t="s">
        <v>29</v>
      </c>
      <c r="O70" s="2" t="e">
        <f t="shared" ref="O70:O79" si="37">N70-1</f>
        <v>#VALUE!</v>
      </c>
      <c r="P70" s="2">
        <f t="shared" ref="P70:P79" si="38">1-D70</f>
        <v>0.72556894243641301</v>
      </c>
      <c r="Q70" s="2">
        <f t="shared" ref="Q70:Q79" si="39">(((U70-L70)*(H70^K70))/(J70))^(1/K70)</f>
        <v>2.9630748410616672</v>
      </c>
      <c r="R70" s="2">
        <f t="shared" si="24"/>
        <v>0.37612304313792372</v>
      </c>
      <c r="S70" s="2">
        <f t="shared" si="25"/>
        <v>7.877940198349167</v>
      </c>
      <c r="T70" s="5">
        <f t="shared" si="26"/>
        <v>3.3748725686648565E-2</v>
      </c>
      <c r="U70" s="5">
        <f t="shared" si="27"/>
        <v>3924</v>
      </c>
      <c r="V70" s="2">
        <f t="shared" si="28"/>
        <v>2963.074841061667</v>
      </c>
      <c r="W70" s="2">
        <f t="shared" si="29"/>
        <v>35119.250054930497</v>
      </c>
      <c r="X70" s="2">
        <f t="shared" si="30"/>
        <v>1.3242999959440898</v>
      </c>
      <c r="Y70" s="12">
        <f t="shared" si="31"/>
        <v>0.24488408739508999</v>
      </c>
      <c r="Z70" s="2">
        <f t="shared" si="32"/>
        <v>8.9498598508997187</v>
      </c>
      <c r="AA70" s="2">
        <f t="shared" si="33"/>
        <v>11.852299364246669</v>
      </c>
      <c r="AB70" s="2">
        <f t="shared" si="34"/>
        <v>1.0577846866870719</v>
      </c>
      <c r="AC70" s="2">
        <f t="shared" si="35"/>
        <v>1.5983791710268294</v>
      </c>
      <c r="AD70" s="2">
        <f t="shared" ref="AD70:AD79" si="40">((1/X70)*(1/M70))^((2)/((2*K70)+3))</f>
        <v>0.89372817401445226</v>
      </c>
      <c r="AE70" s="2">
        <f t="shared" ref="AE70:AE79" si="41">((Y70)*(1/M70))^(2/3)</f>
        <v>0.39141762460822566</v>
      </c>
    </row>
    <row r="71" spans="1:31" x14ac:dyDescent="0.3">
      <c r="A71" s="23" t="s">
        <v>36</v>
      </c>
      <c r="B71" s="1" t="s">
        <v>33</v>
      </c>
      <c r="C71" s="1">
        <v>0.26115515773631598</v>
      </c>
      <c r="D71" s="1">
        <v>0.20348058902275701</v>
      </c>
      <c r="F71" s="2">
        <v>9.81</v>
      </c>
      <c r="G71" s="2">
        <v>4000</v>
      </c>
      <c r="H71" s="18">
        <f t="shared" si="21"/>
        <v>0.1</v>
      </c>
      <c r="I71" s="2">
        <f t="shared" si="22"/>
        <v>0.05</v>
      </c>
      <c r="J71" s="2">
        <v>100</v>
      </c>
      <c r="K71" s="8">
        <v>1</v>
      </c>
      <c r="L71" s="2">
        <f t="shared" si="36"/>
        <v>1024.772838957304</v>
      </c>
      <c r="M71" s="4">
        <f t="shared" si="23"/>
        <v>1</v>
      </c>
      <c r="N71" s="2" t="s">
        <v>29</v>
      </c>
      <c r="O71" s="2" t="e">
        <f t="shared" si="37"/>
        <v>#VALUE!</v>
      </c>
      <c r="P71" s="2">
        <f t="shared" si="38"/>
        <v>0.79651941097724299</v>
      </c>
      <c r="Q71" s="2">
        <f t="shared" si="39"/>
        <v>2.8992271610426963</v>
      </c>
      <c r="R71" s="2">
        <f t="shared" si="24"/>
        <v>0.41869072896282755</v>
      </c>
      <c r="S71" s="2">
        <f t="shared" si="25"/>
        <v>6.9245076627911128</v>
      </c>
      <c r="T71" s="5">
        <f t="shared" si="26"/>
        <v>3.4491950594183647E-2</v>
      </c>
      <c r="U71" s="5">
        <f t="shared" si="27"/>
        <v>3924</v>
      </c>
      <c r="V71" s="2">
        <f t="shared" si="28"/>
        <v>2899.227161042696</v>
      </c>
      <c r="W71" s="2">
        <f t="shared" si="29"/>
        <v>33622.072525310774</v>
      </c>
      <c r="X71" s="2">
        <f t="shared" si="30"/>
        <v>1.3534641413157664</v>
      </c>
      <c r="Y71" s="12">
        <f t="shared" si="31"/>
        <v>0.26115515773631598</v>
      </c>
      <c r="Z71" s="2">
        <f t="shared" si="32"/>
        <v>8.5683161379487185</v>
      </c>
      <c r="AA71" s="2">
        <f t="shared" si="33"/>
        <v>11.596908644170787</v>
      </c>
      <c r="AB71" s="2">
        <f t="shared" si="34"/>
        <v>1.0624031527232367</v>
      </c>
      <c r="AC71" s="2">
        <f t="shared" si="35"/>
        <v>1.5644696082260292</v>
      </c>
      <c r="AD71" s="2">
        <f t="shared" si="40"/>
        <v>0.88597465527758779</v>
      </c>
      <c r="AE71" s="2">
        <f t="shared" si="41"/>
        <v>0.40856930730994112</v>
      </c>
    </row>
    <row r="72" spans="1:31" x14ac:dyDescent="0.3">
      <c r="A72" s="23" t="s">
        <v>36</v>
      </c>
      <c r="B72" s="1" t="s">
        <v>33</v>
      </c>
      <c r="C72" s="1">
        <v>0.27102094314115799</v>
      </c>
      <c r="D72" s="1">
        <v>0.15127175368139201</v>
      </c>
      <c r="F72" s="2">
        <v>9.81</v>
      </c>
      <c r="G72" s="2">
        <v>4000</v>
      </c>
      <c r="H72" s="18">
        <f t="shared" si="21"/>
        <v>0.1</v>
      </c>
      <c r="I72" s="2">
        <f t="shared" si="22"/>
        <v>0.05</v>
      </c>
      <c r="J72" s="2">
        <v>100</v>
      </c>
      <c r="K72" s="8">
        <v>1</v>
      </c>
      <c r="L72" s="2">
        <f t="shared" si="36"/>
        <v>1063.4861808859039</v>
      </c>
      <c r="M72" s="4">
        <f t="shared" si="23"/>
        <v>1</v>
      </c>
      <c r="N72" s="2" t="s">
        <v>29</v>
      </c>
      <c r="O72" s="2" t="e">
        <f t="shared" si="37"/>
        <v>#VALUE!</v>
      </c>
      <c r="P72" s="2">
        <f t="shared" si="38"/>
        <v>0.84872824631860799</v>
      </c>
      <c r="Q72" s="2">
        <f t="shared" si="39"/>
        <v>2.8605138191140957</v>
      </c>
      <c r="R72" s="2">
        <f t="shared" si="24"/>
        <v>0.4453831192088733</v>
      </c>
      <c r="S72" s="2">
        <f t="shared" si="25"/>
        <v>6.4225914628178531</v>
      </c>
      <c r="T72" s="5">
        <f t="shared" si="26"/>
        <v>3.4958754378949346E-2</v>
      </c>
      <c r="U72" s="5">
        <f t="shared" si="27"/>
        <v>3924</v>
      </c>
      <c r="V72" s="2">
        <f t="shared" si="28"/>
        <v>2860.5138191140954</v>
      </c>
      <c r="W72" s="2">
        <f t="shared" si="29"/>
        <v>32730.15723737084</v>
      </c>
      <c r="X72" s="2">
        <f t="shared" si="30"/>
        <v>1.3717815218299723</v>
      </c>
      <c r="Y72" s="12">
        <f t="shared" si="31"/>
        <v>0.27102094314115799</v>
      </c>
      <c r="Z72" s="2">
        <f t="shared" si="32"/>
        <v>8.3410186639579109</v>
      </c>
      <c r="AA72" s="2">
        <f t="shared" si="33"/>
        <v>11.442055276456385</v>
      </c>
      <c r="AB72" s="2">
        <f t="shared" si="34"/>
        <v>1.0652633602331254</v>
      </c>
      <c r="AC72" s="2">
        <f t="shared" si="35"/>
        <v>1.5452510566696294</v>
      </c>
      <c r="AD72" s="2">
        <f t="shared" si="40"/>
        <v>0.88122339939939431</v>
      </c>
      <c r="AE72" s="2">
        <f t="shared" si="41"/>
        <v>0.41879539876847394</v>
      </c>
    </row>
    <row r="73" spans="1:31" x14ac:dyDescent="0.3">
      <c r="A73" s="23" t="s">
        <v>36</v>
      </c>
      <c r="B73" s="1" t="s">
        <v>33</v>
      </c>
      <c r="C73" s="1">
        <v>0.27839179596615199</v>
      </c>
      <c r="D73" s="1">
        <v>0.17001338688085599</v>
      </c>
      <c r="F73" s="2">
        <v>9.81</v>
      </c>
      <c r="G73" s="2">
        <v>4000</v>
      </c>
      <c r="H73" s="18">
        <f t="shared" si="21"/>
        <v>0.1</v>
      </c>
      <c r="I73" s="2">
        <f t="shared" si="22"/>
        <v>0.05</v>
      </c>
      <c r="J73" s="2">
        <v>100</v>
      </c>
      <c r="K73" s="8">
        <v>1</v>
      </c>
      <c r="L73" s="2">
        <f t="shared" si="36"/>
        <v>1092.4094073711804</v>
      </c>
      <c r="M73" s="4">
        <f t="shared" si="23"/>
        <v>1</v>
      </c>
      <c r="N73" s="2" t="s">
        <v>29</v>
      </c>
      <c r="O73" s="2" t="e">
        <f t="shared" si="37"/>
        <v>#VALUE!</v>
      </c>
      <c r="P73" s="2">
        <f t="shared" si="38"/>
        <v>0.82998661311914401</v>
      </c>
      <c r="Q73" s="2">
        <f t="shared" si="39"/>
        <v>2.8315905926288196</v>
      </c>
      <c r="R73" s="2">
        <f t="shared" si="24"/>
        <v>0.4657537782209864</v>
      </c>
      <c r="S73" s="2">
        <f t="shared" si="25"/>
        <v>6.0795869513812368</v>
      </c>
      <c r="T73" s="5">
        <f t="shared" si="26"/>
        <v>3.5315839888831184E-2</v>
      </c>
      <c r="U73" s="5">
        <f t="shared" si="27"/>
        <v>3924</v>
      </c>
      <c r="V73" s="2">
        <f t="shared" si="28"/>
        <v>2831.5905926288196</v>
      </c>
      <c r="W73" s="2">
        <f t="shared" si="29"/>
        <v>32071.621137056121</v>
      </c>
      <c r="X73" s="2">
        <f t="shared" si="30"/>
        <v>1.3857935572377356</v>
      </c>
      <c r="Y73" s="12">
        <f t="shared" si="31"/>
        <v>0.27839179596615199</v>
      </c>
      <c r="Z73" s="2">
        <f t="shared" si="32"/>
        <v>8.1731960084240889</v>
      </c>
      <c r="AA73" s="2">
        <f t="shared" si="33"/>
        <v>11.326362370515278</v>
      </c>
      <c r="AB73" s="2">
        <f t="shared" si="34"/>
        <v>1.0674307450816343</v>
      </c>
      <c r="AC73" s="2">
        <f t="shared" si="35"/>
        <v>1.5314912590378984</v>
      </c>
      <c r="AD73" s="2">
        <f t="shared" si="40"/>
        <v>0.87764843923342695</v>
      </c>
      <c r="AE73" s="2">
        <f t="shared" si="41"/>
        <v>0.42635460211002385</v>
      </c>
    </row>
    <row r="74" spans="1:31" x14ac:dyDescent="0.3">
      <c r="A74" s="23" t="s">
        <v>36</v>
      </c>
      <c r="B74" s="1" t="s">
        <v>33</v>
      </c>
      <c r="C74" s="1">
        <v>0.27838718547828001</v>
      </c>
      <c r="D74" s="1">
        <v>0.17938420348058901</v>
      </c>
      <c r="F74" s="2">
        <v>9.81</v>
      </c>
      <c r="G74" s="2">
        <v>4000</v>
      </c>
      <c r="H74" s="18">
        <f t="shared" si="21"/>
        <v>0.1</v>
      </c>
      <c r="I74" s="2">
        <f t="shared" si="22"/>
        <v>0.05</v>
      </c>
      <c r="J74" s="2">
        <v>100</v>
      </c>
      <c r="K74" s="8">
        <v>1</v>
      </c>
      <c r="L74" s="2">
        <f t="shared" si="36"/>
        <v>1092.3913158167707</v>
      </c>
      <c r="M74" s="4">
        <f t="shared" si="23"/>
        <v>1</v>
      </c>
      <c r="N74" s="2" t="s">
        <v>29</v>
      </c>
      <c r="O74" s="2" t="e">
        <f t="shared" si="37"/>
        <v>#VALUE!</v>
      </c>
      <c r="P74" s="2">
        <f t="shared" si="38"/>
        <v>0.82061579651941097</v>
      </c>
      <c r="Q74" s="2">
        <f t="shared" si="39"/>
        <v>2.8316086841832293</v>
      </c>
      <c r="R74" s="2">
        <f t="shared" si="24"/>
        <v>0.46574092259615191</v>
      </c>
      <c r="S74" s="2">
        <f t="shared" si="25"/>
        <v>6.0797936079981154</v>
      </c>
      <c r="T74" s="5">
        <f t="shared" si="26"/>
        <v>3.5315614250859932E-2</v>
      </c>
      <c r="U74" s="5">
        <f t="shared" si="27"/>
        <v>3924</v>
      </c>
      <c r="V74" s="2">
        <f t="shared" si="28"/>
        <v>2831.6086841832293</v>
      </c>
      <c r="W74" s="2">
        <f t="shared" si="29"/>
        <v>32072.030961367516</v>
      </c>
      <c r="X74" s="2">
        <f t="shared" si="30"/>
        <v>1.3857847032037438</v>
      </c>
      <c r="Y74" s="12">
        <f t="shared" si="31"/>
        <v>0.27838718547828001</v>
      </c>
      <c r="Z74" s="2">
        <f t="shared" si="32"/>
        <v>8.1733004488704175</v>
      </c>
      <c r="AA74" s="2">
        <f t="shared" si="33"/>
        <v>11.326434736732917</v>
      </c>
      <c r="AB74" s="2">
        <f t="shared" si="34"/>
        <v>1.0674293810844926</v>
      </c>
      <c r="AC74" s="2">
        <f t="shared" si="35"/>
        <v>1.5314997135492947</v>
      </c>
      <c r="AD74" s="2">
        <f t="shared" si="40"/>
        <v>0.87765068221221043</v>
      </c>
      <c r="AE74" s="2">
        <f t="shared" si="41"/>
        <v>0.42634989481578023</v>
      </c>
    </row>
    <row r="75" spans="1:31" x14ac:dyDescent="0.3">
      <c r="A75" s="23" t="s">
        <v>36</v>
      </c>
      <c r="B75" s="1" t="s">
        <v>33</v>
      </c>
      <c r="C75" s="1">
        <v>0.31575518968041</v>
      </c>
      <c r="D75" s="1">
        <v>0.22891566265060201</v>
      </c>
      <c r="F75" s="2">
        <v>9.81</v>
      </c>
      <c r="G75" s="2">
        <v>4000</v>
      </c>
      <c r="H75" s="18">
        <f t="shared" si="21"/>
        <v>0.1</v>
      </c>
      <c r="I75" s="2">
        <f t="shared" si="22"/>
        <v>0.05</v>
      </c>
      <c r="J75" s="2">
        <v>100</v>
      </c>
      <c r="K75" s="8">
        <v>1</v>
      </c>
      <c r="L75" s="2">
        <f t="shared" si="36"/>
        <v>1239.0233643059289</v>
      </c>
      <c r="M75" s="4">
        <f t="shared" si="23"/>
        <v>1</v>
      </c>
      <c r="N75" s="2" t="s">
        <v>29</v>
      </c>
      <c r="O75" s="2" t="e">
        <f t="shared" si="37"/>
        <v>#VALUE!</v>
      </c>
      <c r="P75" s="2">
        <f t="shared" si="38"/>
        <v>0.77108433734939796</v>
      </c>
      <c r="Q75" s="2">
        <f t="shared" si="39"/>
        <v>2.684976635694071</v>
      </c>
      <c r="R75" s="2">
        <f t="shared" si="24"/>
        <v>0.57453059504013726</v>
      </c>
      <c r="S75" s="2">
        <f t="shared" si="25"/>
        <v>4.6733396948277335</v>
      </c>
      <c r="T75" s="5">
        <f t="shared" si="26"/>
        <v>3.7244271950303151E-2</v>
      </c>
      <c r="U75" s="5">
        <f t="shared" si="27"/>
        <v>3924</v>
      </c>
      <c r="V75" s="2">
        <f t="shared" si="28"/>
        <v>2684.9766356940709</v>
      </c>
      <c r="W75" s="2">
        <f t="shared" si="29"/>
        <v>28836.398136892207</v>
      </c>
      <c r="X75" s="2">
        <f t="shared" si="30"/>
        <v>1.4614652313298955</v>
      </c>
      <c r="Y75" s="12">
        <f t="shared" si="31"/>
        <v>0.31575518968041</v>
      </c>
      <c r="Z75" s="2">
        <f t="shared" si="32"/>
        <v>7.3487253152120813</v>
      </c>
      <c r="AA75" s="2">
        <f t="shared" si="33"/>
        <v>10.739906542776284</v>
      </c>
      <c r="AB75" s="2">
        <f t="shared" si="34"/>
        <v>1.0788416325913379</v>
      </c>
      <c r="AC75" s="2">
        <f t="shared" si="35"/>
        <v>1.4685311652657771</v>
      </c>
      <c r="AD75" s="2">
        <f t="shared" si="40"/>
        <v>0.85918088215307531</v>
      </c>
      <c r="AE75" s="2">
        <f t="shared" si="41"/>
        <v>0.46369633664008902</v>
      </c>
    </row>
    <row r="76" spans="1:31" x14ac:dyDescent="0.3">
      <c r="A76" s="23" t="s">
        <v>36</v>
      </c>
      <c r="B76" s="1" t="s">
        <v>33</v>
      </c>
      <c r="C76" s="1">
        <v>0.32759623981781899</v>
      </c>
      <c r="D76" s="1">
        <v>0.1619812583668</v>
      </c>
      <c r="F76" s="2">
        <v>9.81</v>
      </c>
      <c r="G76" s="2">
        <v>4000</v>
      </c>
      <c r="H76" s="18">
        <f t="shared" si="21"/>
        <v>0.1</v>
      </c>
      <c r="I76" s="2">
        <f t="shared" si="22"/>
        <v>0.05</v>
      </c>
      <c r="J76" s="2">
        <v>100</v>
      </c>
      <c r="K76" s="8">
        <v>1</v>
      </c>
      <c r="L76" s="2">
        <f t="shared" si="36"/>
        <v>1285.4876450451218</v>
      </c>
      <c r="M76" s="4">
        <f t="shared" si="23"/>
        <v>1</v>
      </c>
      <c r="N76" s="2" t="s">
        <v>29</v>
      </c>
      <c r="O76" s="2" t="e">
        <f t="shared" si="37"/>
        <v>#VALUE!</v>
      </c>
      <c r="P76" s="2">
        <f t="shared" si="38"/>
        <v>0.8380187416332</v>
      </c>
      <c r="Q76" s="2">
        <f t="shared" si="39"/>
        <v>2.6385123549548779</v>
      </c>
      <c r="R76" s="2">
        <f t="shared" si="24"/>
        <v>0.61088647846973776</v>
      </c>
      <c r="S76" s="2">
        <f t="shared" si="25"/>
        <v>4.319153309080134</v>
      </c>
      <c r="T76" s="5">
        <f t="shared" si="26"/>
        <v>3.7900144682744961E-2</v>
      </c>
      <c r="U76" s="5">
        <f t="shared" si="27"/>
        <v>3924</v>
      </c>
      <c r="V76" s="2">
        <f t="shared" si="28"/>
        <v>2638.5123549548775</v>
      </c>
      <c r="W76" s="2">
        <f t="shared" si="29"/>
        <v>27846.989788998144</v>
      </c>
      <c r="X76" s="2">
        <f t="shared" si="30"/>
        <v>1.4872016773509125</v>
      </c>
      <c r="Y76" s="12">
        <f t="shared" si="31"/>
        <v>0.32759623981781899</v>
      </c>
      <c r="Z76" s="2">
        <f t="shared" si="32"/>
        <v>7.0965825150352044</v>
      </c>
      <c r="AA76" s="2">
        <f t="shared" si="33"/>
        <v>10.554049419819513</v>
      </c>
      <c r="AB76" s="2">
        <f t="shared" si="34"/>
        <v>1.0826148335358627</v>
      </c>
      <c r="AC76" s="2">
        <f t="shared" si="35"/>
        <v>1.4506201215065173</v>
      </c>
      <c r="AD76" s="2">
        <f t="shared" si="40"/>
        <v>0.85320237042481306</v>
      </c>
      <c r="AE76" s="2">
        <f t="shared" si="41"/>
        <v>0.47521769720960283</v>
      </c>
    </row>
    <row r="77" spans="1:31" x14ac:dyDescent="0.3">
      <c r="A77" s="23" t="s">
        <v>36</v>
      </c>
      <c r="B77" s="1" t="s">
        <v>33</v>
      </c>
      <c r="C77" s="1">
        <v>0.33941028566912101</v>
      </c>
      <c r="D77" s="1">
        <v>0.14993306559571601</v>
      </c>
      <c r="F77" s="2">
        <v>9.81</v>
      </c>
      <c r="G77" s="2">
        <v>4000</v>
      </c>
      <c r="H77" s="18">
        <f t="shared" si="21"/>
        <v>0.1</v>
      </c>
      <c r="I77" s="2">
        <f t="shared" si="22"/>
        <v>0.05</v>
      </c>
      <c r="J77" s="2">
        <v>100</v>
      </c>
      <c r="K77" s="8">
        <v>1</v>
      </c>
      <c r="L77" s="2">
        <f t="shared" si="36"/>
        <v>1331.8459609656309</v>
      </c>
      <c r="M77" s="4">
        <f t="shared" si="23"/>
        <v>1</v>
      </c>
      <c r="N77" s="2" t="s">
        <v>29</v>
      </c>
      <c r="O77" s="2" t="e">
        <f t="shared" si="37"/>
        <v>#VALUE!</v>
      </c>
      <c r="P77" s="2">
        <f t="shared" si="38"/>
        <v>0.85006693440428394</v>
      </c>
      <c r="Q77" s="2">
        <f t="shared" si="39"/>
        <v>2.5921540390343689</v>
      </c>
      <c r="R77" s="2">
        <f t="shared" si="24"/>
        <v>0.64804325912320337</v>
      </c>
      <c r="S77" s="2">
        <f t="shared" si="25"/>
        <v>3.9999706848915144</v>
      </c>
      <c r="T77" s="5">
        <f t="shared" si="26"/>
        <v>3.8577954278231116E-2</v>
      </c>
      <c r="U77" s="5">
        <f t="shared" si="27"/>
        <v>3924</v>
      </c>
      <c r="V77" s="2">
        <f t="shared" si="28"/>
        <v>2592.1540390343685</v>
      </c>
      <c r="W77" s="2">
        <f t="shared" si="29"/>
        <v>26877.050248328771</v>
      </c>
      <c r="X77" s="2">
        <f t="shared" si="30"/>
        <v>1.5137989258777893</v>
      </c>
      <c r="Y77" s="12">
        <f t="shared" si="31"/>
        <v>0.33941028566912101</v>
      </c>
      <c r="Z77" s="2">
        <f t="shared" si="32"/>
        <v>6.8494011845893912</v>
      </c>
      <c r="AA77" s="2">
        <f t="shared" si="33"/>
        <v>10.368616156137477</v>
      </c>
      <c r="AB77" s="2">
        <f t="shared" si="34"/>
        <v>1.0864597421761977</v>
      </c>
      <c r="AC77" s="2">
        <f t="shared" si="35"/>
        <v>1.4335901232360324</v>
      </c>
      <c r="AD77" s="2">
        <f t="shared" si="40"/>
        <v>0.84717420328771498</v>
      </c>
      <c r="AE77" s="2">
        <f t="shared" si="41"/>
        <v>0.48657523325997221</v>
      </c>
    </row>
    <row r="78" spans="1:31" x14ac:dyDescent="0.3">
      <c r="A78" s="23" t="s">
        <v>36</v>
      </c>
      <c r="B78" s="1" t="s">
        <v>33</v>
      </c>
      <c r="C78" s="1">
        <v>0.35414474626673897</v>
      </c>
      <c r="D78" s="1">
        <v>0.20214190093708101</v>
      </c>
      <c r="F78" s="2">
        <v>9.81</v>
      </c>
      <c r="G78" s="2">
        <v>4000</v>
      </c>
      <c r="H78" s="18">
        <f t="shared" si="21"/>
        <v>0.1</v>
      </c>
      <c r="I78" s="2">
        <f t="shared" si="22"/>
        <v>0.05</v>
      </c>
      <c r="J78" s="2">
        <v>100</v>
      </c>
      <c r="K78" s="8">
        <v>1</v>
      </c>
      <c r="L78" s="2">
        <f t="shared" si="36"/>
        <v>1389.6639843506837</v>
      </c>
      <c r="M78" s="4">
        <f t="shared" si="23"/>
        <v>1</v>
      </c>
      <c r="N78" s="2" t="s">
        <v>29</v>
      </c>
      <c r="O78" s="2" t="e">
        <f t="shared" si="37"/>
        <v>#VALUE!</v>
      </c>
      <c r="P78" s="2">
        <f t="shared" si="38"/>
        <v>0.79785809906291894</v>
      </c>
      <c r="Q78" s="2">
        <f t="shared" si="39"/>
        <v>2.5343360156493167</v>
      </c>
      <c r="R78" s="2">
        <f t="shared" si="24"/>
        <v>0.69560656332075943</v>
      </c>
      <c r="S78" s="2">
        <f t="shared" si="25"/>
        <v>3.6433468993602331</v>
      </c>
      <c r="T78" s="5">
        <f t="shared" si="26"/>
        <v>3.9458066879256827E-2</v>
      </c>
      <c r="U78" s="5">
        <f t="shared" si="27"/>
        <v>3924</v>
      </c>
      <c r="V78" s="2">
        <f t="shared" si="28"/>
        <v>2534.3360156493168</v>
      </c>
      <c r="W78" s="2">
        <f t="shared" si="29"/>
        <v>25691.436160869016</v>
      </c>
      <c r="X78" s="2">
        <f t="shared" si="30"/>
        <v>1.5483345443420375</v>
      </c>
      <c r="Y78" s="12">
        <f t="shared" si="31"/>
        <v>0.35414474626673897</v>
      </c>
      <c r="Z78" s="2">
        <f t="shared" si="32"/>
        <v>6.547256921730126</v>
      </c>
      <c r="AA78" s="2">
        <f t="shared" si="33"/>
        <v>10.137344062597267</v>
      </c>
      <c r="AB78" s="2">
        <f t="shared" si="34"/>
        <v>1.0913723850664845</v>
      </c>
      <c r="AC78" s="2">
        <f t="shared" si="35"/>
        <v>1.4134259662043398</v>
      </c>
      <c r="AD78" s="2">
        <f t="shared" si="40"/>
        <v>0.83956452323486652</v>
      </c>
      <c r="AE78" s="2">
        <f t="shared" si="41"/>
        <v>0.50055738016825635</v>
      </c>
    </row>
    <row r="79" spans="1:31" x14ac:dyDescent="0.3">
      <c r="A79" s="23" t="s">
        <v>36</v>
      </c>
      <c r="B79" s="1" t="s">
        <v>33</v>
      </c>
      <c r="C79" s="1">
        <v>0.379254121858487</v>
      </c>
      <c r="D79" s="1">
        <v>0.16733601070950399</v>
      </c>
      <c r="F79" s="2">
        <v>9.81</v>
      </c>
      <c r="G79" s="2">
        <v>4000</v>
      </c>
      <c r="H79" s="18">
        <f t="shared" si="21"/>
        <v>0.1</v>
      </c>
      <c r="I79" s="2">
        <f t="shared" si="22"/>
        <v>0.05</v>
      </c>
      <c r="J79" s="2">
        <v>100</v>
      </c>
      <c r="K79" s="8">
        <v>1</v>
      </c>
      <c r="L79" s="2">
        <f t="shared" si="36"/>
        <v>1488.193174172703</v>
      </c>
      <c r="M79" s="4">
        <f t="shared" si="23"/>
        <v>1</v>
      </c>
      <c r="N79" s="2" t="s">
        <v>29</v>
      </c>
      <c r="O79" s="2" t="e">
        <f t="shared" si="37"/>
        <v>#VALUE!</v>
      </c>
      <c r="P79" s="2">
        <f t="shared" si="38"/>
        <v>0.83266398929049601</v>
      </c>
      <c r="Q79" s="2">
        <f t="shared" si="39"/>
        <v>2.4358068258272971</v>
      </c>
      <c r="R79" s="2">
        <f t="shared" si="24"/>
        <v>0.77973347825079864</v>
      </c>
      <c r="S79" s="2">
        <f t="shared" si="25"/>
        <v>3.1238966823530796</v>
      </c>
      <c r="T79" s="5">
        <f t="shared" si="26"/>
        <v>4.1054158704081974E-2</v>
      </c>
      <c r="U79" s="5">
        <f t="shared" si="27"/>
        <v>3924</v>
      </c>
      <c r="V79" s="2">
        <f t="shared" si="28"/>
        <v>2435.806825827297</v>
      </c>
      <c r="W79" s="2">
        <f t="shared" si="29"/>
        <v>23732.619570987408</v>
      </c>
      <c r="X79" s="2">
        <f t="shared" si="30"/>
        <v>1.6109651875481765</v>
      </c>
      <c r="Y79" s="12">
        <f t="shared" si="31"/>
        <v>0.379254121858487</v>
      </c>
      <c r="Z79" s="2">
        <f t="shared" si="32"/>
        <v>6.0480681883250274</v>
      </c>
      <c r="AA79" s="2">
        <f t="shared" si="33"/>
        <v>9.7432273033091885</v>
      </c>
      <c r="AB79" s="2">
        <f t="shared" si="34"/>
        <v>1.1000621728155193</v>
      </c>
      <c r="AC79" s="2">
        <f t="shared" si="35"/>
        <v>1.3815180499779862</v>
      </c>
      <c r="AD79" s="2">
        <f t="shared" si="40"/>
        <v>0.82635286619859338</v>
      </c>
      <c r="AE79" s="2">
        <f t="shared" si="41"/>
        <v>0.52394641487605065</v>
      </c>
    </row>
    <row r="80" spans="1:31" x14ac:dyDescent="0.3">
      <c r="A80" s="23" t="s">
        <v>36</v>
      </c>
      <c r="B80" s="1" t="s">
        <v>34</v>
      </c>
      <c r="C80" s="1">
        <v>1.2865237086105799E-2</v>
      </c>
      <c r="D80" s="1">
        <v>0.85274431057563604</v>
      </c>
      <c r="F80" s="2">
        <v>9.81</v>
      </c>
      <c r="G80" s="2">
        <v>4000</v>
      </c>
      <c r="H80" s="18">
        <f>300/1000</f>
        <v>0.3</v>
      </c>
      <c r="I80" s="2">
        <f>100/1000</f>
        <v>0.1</v>
      </c>
      <c r="J80" s="2">
        <v>100</v>
      </c>
      <c r="K80" s="8">
        <v>1</v>
      </c>
      <c r="L80" s="2">
        <f t="shared" ref="L80:L105" si="42">C80*U80</f>
        <v>151.44957097763748</v>
      </c>
      <c r="M80" s="4">
        <f t="shared" ref="M80:M105" si="43">H80/I80/2</f>
        <v>1.4999999999999998</v>
      </c>
      <c r="N80" s="2" t="s">
        <v>29</v>
      </c>
      <c r="O80" s="2" t="e">
        <f t="shared" ref="O80:O105" si="44">N80-1</f>
        <v>#VALUE!</v>
      </c>
      <c r="P80" s="2">
        <f t="shared" ref="P80:P105" si="45">1-D80</f>
        <v>0.14725568942436396</v>
      </c>
      <c r="Q80" s="2">
        <f t="shared" ref="Q80:Q105" si="46">(((U80-L80)*(H80^K80))/(J80))^(1/K80)</f>
        <v>34.861651287067083</v>
      </c>
      <c r="R80" s="2">
        <f t="shared" ref="R80:R105" si="47">(((L80^(((2*K80)+3)/3))*(H80^K80)*(1/J80))/((U80*M80)^(2*K80/3)))^(1/K80)</f>
        <v>1.903737181418699E-2</v>
      </c>
      <c r="S80" s="2">
        <f t="shared" ref="S80:S105" si="48">Q80/R80</f>
        <v>1831.2218528551068</v>
      </c>
      <c r="T80" s="5">
        <f t="shared" ref="T80:T105" si="49">(J80+(L80*H80/Q80))/U80</f>
        <v>8.6054443471326163E-3</v>
      </c>
      <c r="U80" s="5">
        <f t="shared" ref="U80:U105" si="50">F80*G80*H80</f>
        <v>11772</v>
      </c>
      <c r="V80" s="2">
        <f t="shared" ref="V80:V105" si="51">J80*((Q80/H80)^(K80))</f>
        <v>11620.550429022362</v>
      </c>
      <c r="W80" s="2">
        <f t="shared" ref="W80:W105" si="52">G80*Q80*Q80</f>
        <v>4861338.9218442645</v>
      </c>
      <c r="X80" s="2">
        <f t="shared" ref="X80:X105" si="53">U80/V80</f>
        <v>1.0130329085444518</v>
      </c>
      <c r="Y80" s="12">
        <f t="shared" ref="Y80:Y105" si="54">L80/U80</f>
        <v>1.2865237086105799E-2</v>
      </c>
      <c r="Z80" s="2">
        <f t="shared" ref="Z80:Z105" si="55">W80/U80</f>
        <v>412.95777453654983</v>
      </c>
      <c r="AA80" s="2">
        <f t="shared" ref="AA80:AA105" si="56">W80/V80</f>
        <v>418.33981544480503</v>
      </c>
      <c r="AB80" s="2">
        <f t="shared" ref="AB80:AB105" si="57">(X80*M80)^((1)/((2*K80)+3))</f>
        <v>1.0872839132899446</v>
      </c>
      <c r="AC80" s="2">
        <f t="shared" ref="AC80:AC105" si="58">((1/Y80)*M80)^(1/3)</f>
        <v>4.8852990627864346</v>
      </c>
      <c r="AD80" s="2">
        <f t="shared" ref="AD80:AD105" si="59">((1/X80)*(1/M80))^((2)/((2*K80)+3))</f>
        <v>0.84589035852390881</v>
      </c>
      <c r="AE80" s="2">
        <f t="shared" ref="AE80:AE105" si="60">((Y80)*(1/M80))^(2/3)</f>
        <v>4.190035378618532E-2</v>
      </c>
    </row>
    <row r="81" spans="1:31" x14ac:dyDescent="0.3">
      <c r="A81" s="23" t="s">
        <v>36</v>
      </c>
      <c r="B81" s="1" t="s">
        <v>34</v>
      </c>
      <c r="C81" s="1">
        <v>1.7795165903466199E-2</v>
      </c>
      <c r="D81" s="1">
        <v>0.83266398929049501</v>
      </c>
      <c r="F81" s="2">
        <v>9.81</v>
      </c>
      <c r="G81" s="2">
        <v>4000</v>
      </c>
      <c r="H81" s="18">
        <f t="shared" ref="H81:H105" si="61">300/1000</f>
        <v>0.3</v>
      </c>
      <c r="I81" s="2">
        <f t="shared" ref="I81:I105" si="62">100/1000</f>
        <v>0.1</v>
      </c>
      <c r="J81" s="2">
        <v>100</v>
      </c>
      <c r="K81" s="8">
        <v>1</v>
      </c>
      <c r="L81" s="2">
        <f t="shared" si="42"/>
        <v>209.48469301560411</v>
      </c>
      <c r="M81" s="4">
        <f t="shared" si="43"/>
        <v>1.4999999999999998</v>
      </c>
      <c r="N81" s="2" t="s">
        <v>29</v>
      </c>
      <c r="O81" s="2" t="e">
        <f t="shared" si="44"/>
        <v>#VALUE!</v>
      </c>
      <c r="P81" s="2">
        <f t="shared" si="45"/>
        <v>0.16733601070950499</v>
      </c>
      <c r="Q81" s="2">
        <f t="shared" si="46"/>
        <v>34.687545920953191</v>
      </c>
      <c r="R81" s="2">
        <f t="shared" si="47"/>
        <v>3.2689936042229417E-2</v>
      </c>
      <c r="S81" s="2">
        <f t="shared" si="48"/>
        <v>1061.1077940361592</v>
      </c>
      <c r="T81" s="5">
        <f t="shared" si="49"/>
        <v>8.6486371991736522E-3</v>
      </c>
      <c r="U81" s="5">
        <f t="shared" si="50"/>
        <v>11772</v>
      </c>
      <c r="V81" s="2">
        <f t="shared" si="51"/>
        <v>11562.515306984398</v>
      </c>
      <c r="W81" s="2">
        <f t="shared" si="52"/>
        <v>4812903.3680729456</v>
      </c>
      <c r="X81" s="2">
        <f t="shared" si="53"/>
        <v>1.0181175710867221</v>
      </c>
      <c r="Y81" s="12">
        <f t="shared" si="54"/>
        <v>1.7795165903466199E-2</v>
      </c>
      <c r="Z81" s="2">
        <f t="shared" si="55"/>
        <v>408.8433034380688</v>
      </c>
      <c r="AA81" s="2">
        <f t="shared" si="56"/>
        <v>416.25055105143826</v>
      </c>
      <c r="AB81" s="2">
        <f t="shared" si="57"/>
        <v>1.0883731978617235</v>
      </c>
      <c r="AC81" s="2">
        <f t="shared" si="58"/>
        <v>4.384597574364741</v>
      </c>
      <c r="AD81" s="2">
        <f t="shared" si="59"/>
        <v>0.84419800846361026</v>
      </c>
      <c r="AE81" s="2">
        <f t="shared" si="60"/>
        <v>5.2016427503837379E-2</v>
      </c>
    </row>
    <row r="82" spans="1:31" x14ac:dyDescent="0.3">
      <c r="A82" s="23" t="s">
        <v>36</v>
      </c>
      <c r="B82" s="1" t="s">
        <v>34</v>
      </c>
      <c r="C82" s="1">
        <v>2.81411006881153E-2</v>
      </c>
      <c r="D82" s="1">
        <v>0.80455153949129798</v>
      </c>
      <c r="F82" s="2">
        <v>9.81</v>
      </c>
      <c r="G82" s="2">
        <v>4000</v>
      </c>
      <c r="H82" s="18">
        <f t="shared" si="61"/>
        <v>0.3</v>
      </c>
      <c r="I82" s="2">
        <f t="shared" si="62"/>
        <v>0.1</v>
      </c>
      <c r="J82" s="2">
        <v>100</v>
      </c>
      <c r="K82" s="8">
        <v>1</v>
      </c>
      <c r="L82" s="2">
        <f t="shared" si="42"/>
        <v>331.2770373004933</v>
      </c>
      <c r="M82" s="4">
        <f t="shared" si="43"/>
        <v>1.4999999999999998</v>
      </c>
      <c r="N82" s="2" t="s">
        <v>29</v>
      </c>
      <c r="O82" s="2" t="e">
        <f t="shared" si="44"/>
        <v>#VALUE!</v>
      </c>
      <c r="P82" s="2">
        <f t="shared" si="45"/>
        <v>0.19544846050870202</v>
      </c>
      <c r="Q82" s="2">
        <f t="shared" si="46"/>
        <v>34.322168888098517</v>
      </c>
      <c r="R82" s="2">
        <f t="shared" si="47"/>
        <v>7.0169083195936108E-2</v>
      </c>
      <c r="S82" s="2">
        <f t="shared" si="48"/>
        <v>489.1352049200824</v>
      </c>
      <c r="T82" s="5">
        <f t="shared" si="49"/>
        <v>8.7407063632283268E-3</v>
      </c>
      <c r="U82" s="5">
        <f t="shared" si="50"/>
        <v>11772</v>
      </c>
      <c r="V82" s="2">
        <f t="shared" si="51"/>
        <v>11440.722962699507</v>
      </c>
      <c r="W82" s="2">
        <f t="shared" si="52"/>
        <v>4712045.1087326314</v>
      </c>
      <c r="X82" s="2">
        <f t="shared" si="53"/>
        <v>1.0289559530792385</v>
      </c>
      <c r="Y82" s="12">
        <f t="shared" si="54"/>
        <v>2.81411006881153E-2</v>
      </c>
      <c r="Z82" s="2">
        <f t="shared" si="55"/>
        <v>400.27566333100845</v>
      </c>
      <c r="AA82" s="2">
        <f t="shared" si="56"/>
        <v>411.8660266571822</v>
      </c>
      <c r="AB82" s="2">
        <f t="shared" si="57"/>
        <v>1.0906806508747502</v>
      </c>
      <c r="AC82" s="2">
        <f t="shared" si="58"/>
        <v>3.7634261043721358</v>
      </c>
      <c r="AD82" s="2">
        <f t="shared" si="59"/>
        <v>0.84062980233469586</v>
      </c>
      <c r="AE82" s="2">
        <f t="shared" si="60"/>
        <v>7.0604635290278564E-2</v>
      </c>
    </row>
    <row r="83" spans="1:31" x14ac:dyDescent="0.3">
      <c r="A83" s="23" t="s">
        <v>36</v>
      </c>
      <c r="B83" s="1" t="s">
        <v>34</v>
      </c>
      <c r="C83" s="1">
        <v>3.5039707826797099E-2</v>
      </c>
      <c r="D83" s="1">
        <v>0.78313253012048201</v>
      </c>
      <c r="F83" s="2">
        <v>9.81</v>
      </c>
      <c r="G83" s="2">
        <v>4000</v>
      </c>
      <c r="H83" s="18">
        <f t="shared" si="61"/>
        <v>0.3</v>
      </c>
      <c r="I83" s="2">
        <f t="shared" si="62"/>
        <v>0.1</v>
      </c>
      <c r="J83" s="2">
        <v>100</v>
      </c>
      <c r="K83" s="8">
        <v>1</v>
      </c>
      <c r="L83" s="2">
        <f t="shared" si="42"/>
        <v>412.48744053705548</v>
      </c>
      <c r="M83" s="4">
        <f t="shared" si="43"/>
        <v>1.4999999999999998</v>
      </c>
      <c r="N83" s="2" t="s">
        <v>29</v>
      </c>
      <c r="O83" s="2" t="e">
        <f t="shared" si="44"/>
        <v>#VALUE!</v>
      </c>
      <c r="P83" s="2">
        <f t="shared" si="45"/>
        <v>0.21686746987951799</v>
      </c>
      <c r="Q83" s="2">
        <f t="shared" si="46"/>
        <v>34.078537678388834</v>
      </c>
      <c r="R83" s="2">
        <f t="shared" si="47"/>
        <v>0.10112180098100844</v>
      </c>
      <c r="S83" s="2">
        <f t="shared" si="48"/>
        <v>337.00485303647906</v>
      </c>
      <c r="T83" s="5">
        <f t="shared" si="49"/>
        <v>8.8031946332675914E-3</v>
      </c>
      <c r="U83" s="5">
        <f t="shared" si="50"/>
        <v>11772</v>
      </c>
      <c r="V83" s="2">
        <f t="shared" si="51"/>
        <v>11359.512559462944</v>
      </c>
      <c r="W83" s="2">
        <f t="shared" si="52"/>
        <v>4645386.9211894702</v>
      </c>
      <c r="X83" s="2">
        <f t="shared" si="53"/>
        <v>1.0363120722282608</v>
      </c>
      <c r="Y83" s="12">
        <f t="shared" si="54"/>
        <v>3.5039707826797099E-2</v>
      </c>
      <c r="Z83" s="2">
        <f t="shared" si="55"/>
        <v>394.61322809968317</v>
      </c>
      <c r="AA83" s="2">
        <f t="shared" si="56"/>
        <v>408.94245214066609</v>
      </c>
      <c r="AB83" s="2">
        <f t="shared" si="57"/>
        <v>1.0922356895124354</v>
      </c>
      <c r="AC83" s="2">
        <f t="shared" si="58"/>
        <v>3.4981916134961946</v>
      </c>
      <c r="AD83" s="2">
        <f t="shared" si="59"/>
        <v>0.83823786205504525</v>
      </c>
      <c r="AE83" s="2">
        <f t="shared" si="60"/>
        <v>8.1717074706039061E-2</v>
      </c>
    </row>
    <row r="84" spans="1:31" x14ac:dyDescent="0.3">
      <c r="A84" s="23" t="s">
        <v>36</v>
      </c>
      <c r="B84" s="1" t="s">
        <v>34</v>
      </c>
      <c r="C84" s="1">
        <v>2.4226137843707699E-2</v>
      </c>
      <c r="D84" s="1">
        <v>0.76171352074966503</v>
      </c>
      <c r="F84" s="2">
        <v>9.81</v>
      </c>
      <c r="G84" s="2">
        <v>4000</v>
      </c>
      <c r="H84" s="18">
        <f t="shared" si="61"/>
        <v>0.3</v>
      </c>
      <c r="I84" s="2">
        <f t="shared" si="62"/>
        <v>0.1</v>
      </c>
      <c r="J84" s="2">
        <v>100</v>
      </c>
      <c r="K84" s="8">
        <v>1</v>
      </c>
      <c r="L84" s="2">
        <f t="shared" si="42"/>
        <v>285.19009469612706</v>
      </c>
      <c r="M84" s="4">
        <f t="shared" si="43"/>
        <v>1.4999999999999998</v>
      </c>
      <c r="N84" s="2" t="s">
        <v>29</v>
      </c>
      <c r="O84" s="2" t="e">
        <f t="shared" si="44"/>
        <v>#VALUE!</v>
      </c>
      <c r="P84" s="2">
        <f t="shared" si="45"/>
        <v>0.23828647925033497</v>
      </c>
      <c r="Q84" s="2">
        <f t="shared" si="46"/>
        <v>34.460429715911616</v>
      </c>
      <c r="R84" s="2">
        <f t="shared" si="47"/>
        <v>5.466604343196229E-2</v>
      </c>
      <c r="S84" s="2">
        <f t="shared" si="48"/>
        <v>630.38090105791707</v>
      </c>
      <c r="T84" s="5">
        <f t="shared" si="49"/>
        <v>8.7056372329994258E-3</v>
      </c>
      <c r="U84" s="5">
        <f t="shared" si="50"/>
        <v>11772</v>
      </c>
      <c r="V84" s="2">
        <f t="shared" si="51"/>
        <v>11486.809905303871</v>
      </c>
      <c r="W84" s="2">
        <f t="shared" si="52"/>
        <v>4750084.8648211379</v>
      </c>
      <c r="X84" s="2">
        <f t="shared" si="53"/>
        <v>1.0248276150686926</v>
      </c>
      <c r="Y84" s="12">
        <f t="shared" si="54"/>
        <v>2.4226137843707703E-2</v>
      </c>
      <c r="Z84" s="2">
        <f t="shared" si="55"/>
        <v>403.50703914552651</v>
      </c>
      <c r="AA84" s="2">
        <f t="shared" si="56"/>
        <v>413.52515659093945</v>
      </c>
      <c r="AB84" s="2">
        <f t="shared" si="57"/>
        <v>1.0898040454103941</v>
      </c>
      <c r="AC84" s="2">
        <f t="shared" si="58"/>
        <v>3.9561160698494922</v>
      </c>
      <c r="AD84" s="2">
        <f t="shared" si="59"/>
        <v>0.84198270068675851</v>
      </c>
      <c r="AE84" s="2">
        <f t="shared" si="60"/>
        <v>6.3894275489254013E-2</v>
      </c>
    </row>
    <row r="85" spans="1:31" x14ac:dyDescent="0.3">
      <c r="A85" s="23" t="s">
        <v>36</v>
      </c>
      <c r="B85" s="1" t="s">
        <v>34</v>
      </c>
      <c r="C85" s="1">
        <v>2.9646095657743701E-2</v>
      </c>
      <c r="D85" s="1">
        <v>0.74564926372155305</v>
      </c>
      <c r="F85" s="2">
        <v>9.81</v>
      </c>
      <c r="G85" s="2">
        <v>4000</v>
      </c>
      <c r="H85" s="18">
        <f t="shared" si="61"/>
        <v>0.3</v>
      </c>
      <c r="I85" s="2">
        <f t="shared" si="62"/>
        <v>0.1</v>
      </c>
      <c r="J85" s="2">
        <v>100</v>
      </c>
      <c r="K85" s="8">
        <v>1</v>
      </c>
      <c r="L85" s="2">
        <f t="shared" si="42"/>
        <v>348.99383808295886</v>
      </c>
      <c r="M85" s="4">
        <f t="shared" si="43"/>
        <v>1.4999999999999998</v>
      </c>
      <c r="N85" s="2" t="s">
        <v>29</v>
      </c>
      <c r="O85" s="2" t="e">
        <f t="shared" si="44"/>
        <v>#VALUE!</v>
      </c>
      <c r="P85" s="2">
        <f t="shared" si="45"/>
        <v>0.25435073627844695</v>
      </c>
      <c r="Q85" s="2">
        <f t="shared" si="46"/>
        <v>34.269018485751118</v>
      </c>
      <c r="R85" s="2">
        <f t="shared" si="47"/>
        <v>7.6534369968240923E-2</v>
      </c>
      <c r="S85" s="2">
        <f t="shared" si="48"/>
        <v>447.75985612701271</v>
      </c>
      <c r="T85" s="5">
        <f t="shared" si="49"/>
        <v>8.7542629831881061E-3</v>
      </c>
      <c r="U85" s="5">
        <f t="shared" si="50"/>
        <v>11772</v>
      </c>
      <c r="V85" s="2">
        <f t="shared" si="51"/>
        <v>11423.006161917039</v>
      </c>
      <c r="W85" s="2">
        <f t="shared" si="52"/>
        <v>4697462.5119070075</v>
      </c>
      <c r="X85" s="2">
        <f t="shared" si="53"/>
        <v>1.030551838380904</v>
      </c>
      <c r="Y85" s="12">
        <f t="shared" si="54"/>
        <v>2.9646095657743701E-2</v>
      </c>
      <c r="Z85" s="2">
        <f t="shared" si="55"/>
        <v>399.03691062750659</v>
      </c>
      <c r="AA85" s="2">
        <f t="shared" si="56"/>
        <v>411.22822182901342</v>
      </c>
      <c r="AB85" s="2">
        <f t="shared" si="57"/>
        <v>1.0910187649342138</v>
      </c>
      <c r="AC85" s="2">
        <f t="shared" si="58"/>
        <v>3.6986330931641866</v>
      </c>
      <c r="AD85" s="2">
        <f t="shared" si="59"/>
        <v>0.84010884940170327</v>
      </c>
      <c r="AE85" s="2">
        <f t="shared" si="60"/>
        <v>7.3100020321894665E-2</v>
      </c>
    </row>
    <row r="86" spans="1:31" x14ac:dyDescent="0.3">
      <c r="A86" s="23" t="s">
        <v>36</v>
      </c>
      <c r="B86" s="1" t="s">
        <v>34</v>
      </c>
      <c r="C86" s="1">
        <v>3.2129172697349398E-2</v>
      </c>
      <c r="D86" s="1">
        <v>0.69879518072289104</v>
      </c>
      <c r="F86" s="2">
        <v>9.81</v>
      </c>
      <c r="G86" s="2">
        <v>4000</v>
      </c>
      <c r="H86" s="18">
        <f t="shared" si="61"/>
        <v>0.3</v>
      </c>
      <c r="I86" s="2">
        <f t="shared" si="62"/>
        <v>0.1</v>
      </c>
      <c r="J86" s="2">
        <v>100</v>
      </c>
      <c r="K86" s="8">
        <v>1</v>
      </c>
      <c r="L86" s="2">
        <f t="shared" si="42"/>
        <v>378.22462099319711</v>
      </c>
      <c r="M86" s="4">
        <f t="shared" si="43"/>
        <v>1.4999999999999998</v>
      </c>
      <c r="N86" s="2" t="s">
        <v>29</v>
      </c>
      <c r="O86" s="2" t="e">
        <f t="shared" si="44"/>
        <v>#VALUE!</v>
      </c>
      <c r="P86" s="2">
        <f t="shared" si="45"/>
        <v>0.30120481927710896</v>
      </c>
      <c r="Q86" s="2">
        <f t="shared" si="46"/>
        <v>34.181326137020413</v>
      </c>
      <c r="R86" s="2">
        <f t="shared" si="47"/>
        <v>8.7513806366834188E-2</v>
      </c>
      <c r="S86" s="2">
        <f t="shared" si="48"/>
        <v>390.58209848331296</v>
      </c>
      <c r="T86" s="5">
        <f t="shared" si="49"/>
        <v>8.7767220849597812E-3</v>
      </c>
      <c r="U86" s="5">
        <f t="shared" si="50"/>
        <v>11772</v>
      </c>
      <c r="V86" s="2">
        <f t="shared" si="51"/>
        <v>11393.775379006804</v>
      </c>
      <c r="W86" s="2">
        <f t="shared" si="52"/>
        <v>4673452.2259414196</v>
      </c>
      <c r="X86" s="2">
        <f t="shared" si="53"/>
        <v>1.0331957238414653</v>
      </c>
      <c r="Y86" s="12">
        <f t="shared" si="54"/>
        <v>3.2129172697349398E-2</v>
      </c>
      <c r="Z86" s="2">
        <f t="shared" si="55"/>
        <v>396.99730087847598</v>
      </c>
      <c r="AA86" s="2">
        <f t="shared" si="56"/>
        <v>410.17591364424499</v>
      </c>
      <c r="AB86" s="2">
        <f t="shared" si="57"/>
        <v>1.0915779940738344</v>
      </c>
      <c r="AC86" s="2">
        <f t="shared" si="58"/>
        <v>3.6007853974754034</v>
      </c>
      <c r="AD86" s="2">
        <f t="shared" si="59"/>
        <v>0.8392482732340929</v>
      </c>
      <c r="AE86" s="2">
        <f t="shared" si="60"/>
        <v>7.7126837254387459E-2</v>
      </c>
    </row>
    <row r="87" spans="1:31" x14ac:dyDescent="0.3">
      <c r="A87" s="23" t="s">
        <v>36</v>
      </c>
      <c r="B87" s="1" t="s">
        <v>34</v>
      </c>
      <c r="C87" s="1">
        <v>3.9513198344834799E-2</v>
      </c>
      <c r="D87" s="1">
        <v>0.69076305220883505</v>
      </c>
      <c r="F87" s="2">
        <v>9.81</v>
      </c>
      <c r="G87" s="2">
        <v>4000</v>
      </c>
      <c r="H87" s="18">
        <f t="shared" si="61"/>
        <v>0.3</v>
      </c>
      <c r="I87" s="2">
        <f t="shared" si="62"/>
        <v>0.1</v>
      </c>
      <c r="J87" s="2">
        <v>100</v>
      </c>
      <c r="K87" s="8">
        <v>1</v>
      </c>
      <c r="L87" s="2">
        <f t="shared" si="42"/>
        <v>465.14937091539525</v>
      </c>
      <c r="M87" s="4">
        <f t="shared" si="43"/>
        <v>1.4999999999999998</v>
      </c>
      <c r="N87" s="2" t="s">
        <v>29</v>
      </c>
      <c r="O87" s="2" t="e">
        <f t="shared" si="44"/>
        <v>#VALUE!</v>
      </c>
      <c r="P87" s="2">
        <f t="shared" si="45"/>
        <v>0.30923694779116495</v>
      </c>
      <c r="Q87" s="2">
        <f t="shared" si="46"/>
        <v>33.920551887253815</v>
      </c>
      <c r="R87" s="2">
        <f t="shared" si="47"/>
        <v>0.12354190949746745</v>
      </c>
      <c r="S87" s="2">
        <f t="shared" si="48"/>
        <v>274.56716530635435</v>
      </c>
      <c r="T87" s="5">
        <f t="shared" si="49"/>
        <v>8.8441957252685423E-3</v>
      </c>
      <c r="U87" s="5">
        <f t="shared" si="50"/>
        <v>11772</v>
      </c>
      <c r="V87" s="2">
        <f t="shared" si="51"/>
        <v>11306.850629084605</v>
      </c>
      <c r="W87" s="2">
        <f t="shared" si="52"/>
        <v>4602415.3613435132</v>
      </c>
      <c r="X87" s="2">
        <f t="shared" si="53"/>
        <v>1.0411387207786129</v>
      </c>
      <c r="Y87" s="12">
        <f t="shared" si="54"/>
        <v>3.9513198344834799E-2</v>
      </c>
      <c r="Z87" s="2">
        <f t="shared" si="55"/>
        <v>390.96290871079793</v>
      </c>
      <c r="AA87" s="2">
        <f t="shared" si="56"/>
        <v>407.04662264704575</v>
      </c>
      <c r="AB87" s="2">
        <f t="shared" si="57"/>
        <v>1.0932512221537511</v>
      </c>
      <c r="AC87" s="2">
        <f t="shared" si="58"/>
        <v>3.3608543480063782</v>
      </c>
      <c r="AD87" s="2">
        <f t="shared" si="59"/>
        <v>0.8366812892900366</v>
      </c>
      <c r="AE87" s="2">
        <f t="shared" si="60"/>
        <v>8.853206964058434E-2</v>
      </c>
    </row>
    <row r="88" spans="1:31" x14ac:dyDescent="0.3">
      <c r="A88" s="23" t="s">
        <v>36</v>
      </c>
      <c r="B88" s="1" t="s">
        <v>34</v>
      </c>
      <c r="C88" s="1">
        <v>5.13344892485069E-2</v>
      </c>
      <c r="D88" s="1">
        <v>0.66398929049531397</v>
      </c>
      <c r="F88" s="2">
        <v>9.81</v>
      </c>
      <c r="G88" s="2">
        <v>4000</v>
      </c>
      <c r="H88" s="18">
        <f t="shared" si="61"/>
        <v>0.3</v>
      </c>
      <c r="I88" s="2">
        <f t="shared" si="62"/>
        <v>0.1</v>
      </c>
      <c r="J88" s="2">
        <v>100</v>
      </c>
      <c r="K88" s="8">
        <v>1</v>
      </c>
      <c r="L88" s="2">
        <f t="shared" si="42"/>
        <v>604.30960743342325</v>
      </c>
      <c r="M88" s="4">
        <f t="shared" si="43"/>
        <v>1.4999999999999998</v>
      </c>
      <c r="N88" s="2" t="s">
        <v>29</v>
      </c>
      <c r="O88" s="2" t="e">
        <f t="shared" si="44"/>
        <v>#VALUE!</v>
      </c>
      <c r="P88" s="2">
        <f t="shared" si="45"/>
        <v>0.33601070950468603</v>
      </c>
      <c r="Q88" s="2">
        <f t="shared" si="46"/>
        <v>33.503071177699731</v>
      </c>
      <c r="R88" s="2">
        <f t="shared" si="47"/>
        <v>0.19109943853622074</v>
      </c>
      <c r="S88" s="2">
        <f t="shared" si="48"/>
        <v>175.31747573057154</v>
      </c>
      <c r="T88" s="5">
        <f t="shared" si="49"/>
        <v>8.9544029682772971E-3</v>
      </c>
      <c r="U88" s="5">
        <f t="shared" si="50"/>
        <v>11772</v>
      </c>
      <c r="V88" s="2">
        <f t="shared" si="51"/>
        <v>11167.690392566577</v>
      </c>
      <c r="W88" s="2">
        <f t="shared" si="52"/>
        <v>4489823.1133520585</v>
      </c>
      <c r="X88" s="2">
        <f t="shared" si="53"/>
        <v>1.0541123174256033</v>
      </c>
      <c r="Y88" s="12">
        <f t="shared" si="54"/>
        <v>5.13344892485069E-2</v>
      </c>
      <c r="Z88" s="2">
        <f t="shared" si="55"/>
        <v>381.39849756643378</v>
      </c>
      <c r="AA88" s="2">
        <f t="shared" si="56"/>
        <v>402.0368541323968</v>
      </c>
      <c r="AB88" s="2">
        <f t="shared" si="57"/>
        <v>1.0959623361563142</v>
      </c>
      <c r="AC88" s="2">
        <f t="shared" si="58"/>
        <v>3.0800705993512878</v>
      </c>
      <c r="AD88" s="2">
        <f t="shared" si="59"/>
        <v>0.83254696339771306</v>
      </c>
      <c r="AE88" s="2">
        <f t="shared" si="60"/>
        <v>0.10540923404469396</v>
      </c>
    </row>
    <row r="89" spans="1:31" x14ac:dyDescent="0.3">
      <c r="A89" s="23" t="s">
        <v>36</v>
      </c>
      <c r="B89" s="1" t="s">
        <v>34</v>
      </c>
      <c r="C89" s="1">
        <v>6.5121823909002105E-2</v>
      </c>
      <c r="D89" s="1">
        <v>0.64123159303882205</v>
      </c>
      <c r="F89" s="2">
        <v>9.81</v>
      </c>
      <c r="G89" s="2">
        <v>4000</v>
      </c>
      <c r="H89" s="18">
        <f t="shared" si="61"/>
        <v>0.3</v>
      </c>
      <c r="I89" s="2">
        <f t="shared" si="62"/>
        <v>0.1</v>
      </c>
      <c r="J89" s="2">
        <v>100</v>
      </c>
      <c r="K89" s="8">
        <v>1</v>
      </c>
      <c r="L89" s="2">
        <f t="shared" si="42"/>
        <v>766.6141110567728</v>
      </c>
      <c r="M89" s="4">
        <f t="shared" si="43"/>
        <v>1.4999999999999998</v>
      </c>
      <c r="N89" s="2" t="s">
        <v>29</v>
      </c>
      <c r="O89" s="2" t="e">
        <f t="shared" si="44"/>
        <v>#VALUE!</v>
      </c>
      <c r="P89" s="2">
        <f t="shared" si="45"/>
        <v>0.35876840696117795</v>
      </c>
      <c r="Q89" s="2">
        <f t="shared" si="46"/>
        <v>33.016157666829685</v>
      </c>
      <c r="R89" s="2">
        <f t="shared" si="47"/>
        <v>0.28408933366766426</v>
      </c>
      <c r="S89" s="2">
        <f t="shared" si="48"/>
        <v>116.21751947031183</v>
      </c>
      <c r="T89" s="5">
        <f t="shared" si="49"/>
        <v>9.0864601213544848E-3</v>
      </c>
      <c r="U89" s="5">
        <f t="shared" si="50"/>
        <v>11772</v>
      </c>
      <c r="V89" s="2">
        <f t="shared" si="51"/>
        <v>11005.385888943229</v>
      </c>
      <c r="W89" s="2">
        <f t="shared" si="52"/>
        <v>4360266.668323826</v>
      </c>
      <c r="X89" s="2">
        <f t="shared" si="53"/>
        <v>1.0696580854858497</v>
      </c>
      <c r="Y89" s="12">
        <f t="shared" si="54"/>
        <v>6.5121823909002105E-2</v>
      </c>
      <c r="Z89" s="2">
        <f t="shared" si="55"/>
        <v>370.39302313318262</v>
      </c>
      <c r="AA89" s="2">
        <f t="shared" si="56"/>
        <v>396.19389200195616</v>
      </c>
      <c r="AB89" s="2">
        <f t="shared" si="57"/>
        <v>1.0991760260084946</v>
      </c>
      <c r="AC89" s="2">
        <f t="shared" si="58"/>
        <v>2.8452574411143199</v>
      </c>
      <c r="AD89" s="2">
        <f t="shared" si="59"/>
        <v>0.82768580125462787</v>
      </c>
      <c r="AE89" s="2">
        <f t="shared" si="60"/>
        <v>0.12352556937068315</v>
      </c>
    </row>
    <row r="90" spans="1:31" x14ac:dyDescent="0.3">
      <c r="A90" s="23" t="s">
        <v>36</v>
      </c>
      <c r="B90" s="1" t="s">
        <v>34</v>
      </c>
      <c r="C90" s="1">
        <v>5.7751629725132501E-2</v>
      </c>
      <c r="D90" s="1">
        <v>0.62115127175368101</v>
      </c>
      <c r="F90" s="2">
        <v>9.81</v>
      </c>
      <c r="G90" s="2">
        <v>4000</v>
      </c>
      <c r="H90" s="18">
        <f t="shared" si="61"/>
        <v>0.3</v>
      </c>
      <c r="I90" s="2">
        <f t="shared" si="62"/>
        <v>0.1</v>
      </c>
      <c r="J90" s="2">
        <v>100</v>
      </c>
      <c r="K90" s="8">
        <v>1</v>
      </c>
      <c r="L90" s="2">
        <f t="shared" si="42"/>
        <v>679.85218512425979</v>
      </c>
      <c r="M90" s="4">
        <f t="shared" si="43"/>
        <v>1.4999999999999998</v>
      </c>
      <c r="N90" s="2" t="s">
        <v>29</v>
      </c>
      <c r="O90" s="2" t="e">
        <f t="shared" si="44"/>
        <v>#VALUE!</v>
      </c>
      <c r="P90" s="2">
        <f t="shared" si="45"/>
        <v>0.37884872824631899</v>
      </c>
      <c r="Q90" s="2">
        <f t="shared" si="46"/>
        <v>33.276443444627219</v>
      </c>
      <c r="R90" s="2">
        <f t="shared" si="47"/>
        <v>0.23255074902062869</v>
      </c>
      <c r="S90" s="2">
        <f t="shared" si="48"/>
        <v>143.09325420265748</v>
      </c>
      <c r="T90" s="5">
        <f t="shared" si="49"/>
        <v>9.0153865300901821E-3</v>
      </c>
      <c r="U90" s="5">
        <f t="shared" si="50"/>
        <v>11772</v>
      </c>
      <c r="V90" s="2">
        <f t="shared" si="51"/>
        <v>11092.14781487574</v>
      </c>
      <c r="W90" s="2">
        <f t="shared" si="52"/>
        <v>4429286.7532938952</v>
      </c>
      <c r="X90" s="2">
        <f t="shared" si="53"/>
        <v>1.0612913023222164</v>
      </c>
      <c r="Y90" s="12">
        <f t="shared" si="54"/>
        <v>5.7751629725132501E-2</v>
      </c>
      <c r="Z90" s="2">
        <f t="shared" si="55"/>
        <v>376.25609525092551</v>
      </c>
      <c r="AA90" s="2">
        <f t="shared" si="56"/>
        <v>399.31732133552663</v>
      </c>
      <c r="AB90" s="2">
        <f t="shared" si="57"/>
        <v>1.0974510865507807</v>
      </c>
      <c r="AC90" s="2">
        <f t="shared" si="58"/>
        <v>2.9614813697885767</v>
      </c>
      <c r="AD90" s="2">
        <f t="shared" si="59"/>
        <v>0.83028970757555687</v>
      </c>
      <c r="AE90" s="2">
        <f t="shared" si="60"/>
        <v>0.11402025033727212</v>
      </c>
    </row>
    <row r="91" spans="1:31" x14ac:dyDescent="0.3">
      <c r="A91" s="23" t="s">
        <v>36</v>
      </c>
      <c r="B91" s="1" t="s">
        <v>34</v>
      </c>
      <c r="C91" s="1">
        <v>7.1059473646945301E-2</v>
      </c>
      <c r="D91" s="1">
        <v>0.57295850066934395</v>
      </c>
      <c r="F91" s="2">
        <v>9.81</v>
      </c>
      <c r="G91" s="2">
        <v>4000</v>
      </c>
      <c r="H91" s="18">
        <f t="shared" si="61"/>
        <v>0.3</v>
      </c>
      <c r="I91" s="2">
        <f t="shared" si="62"/>
        <v>0.1</v>
      </c>
      <c r="J91" s="2">
        <v>100</v>
      </c>
      <c r="K91" s="8">
        <v>1</v>
      </c>
      <c r="L91" s="2">
        <f t="shared" si="42"/>
        <v>836.51212377184004</v>
      </c>
      <c r="M91" s="4">
        <f t="shared" si="43"/>
        <v>1.4999999999999998</v>
      </c>
      <c r="N91" s="2" t="s">
        <v>29</v>
      </c>
      <c r="O91" s="2" t="e">
        <f t="shared" si="44"/>
        <v>#VALUE!</v>
      </c>
      <c r="P91" s="2">
        <f t="shared" si="45"/>
        <v>0.42704149933065605</v>
      </c>
      <c r="Q91" s="2">
        <f t="shared" si="46"/>
        <v>32.806463628684483</v>
      </c>
      <c r="R91" s="2">
        <f t="shared" si="47"/>
        <v>0.328559462366879</v>
      </c>
      <c r="S91" s="2">
        <f t="shared" si="48"/>
        <v>99.849395273394492</v>
      </c>
      <c r="T91" s="5">
        <f t="shared" si="49"/>
        <v>9.1445394235571808E-3</v>
      </c>
      <c r="U91" s="5">
        <f t="shared" si="50"/>
        <v>11772</v>
      </c>
      <c r="V91" s="2">
        <f t="shared" si="51"/>
        <v>10935.487876228162</v>
      </c>
      <c r="W91" s="2">
        <f t="shared" si="52"/>
        <v>4305056.2232807912</v>
      </c>
      <c r="X91" s="2">
        <f t="shared" si="53"/>
        <v>1.0764951809411512</v>
      </c>
      <c r="Y91" s="12">
        <f t="shared" si="54"/>
        <v>7.1059473646945301E-2</v>
      </c>
      <c r="Z91" s="2">
        <f t="shared" si="55"/>
        <v>365.7030430921501</v>
      </c>
      <c r="AA91" s="2">
        <f t="shared" si="56"/>
        <v>393.67756354421374</v>
      </c>
      <c r="AB91" s="2">
        <f t="shared" si="57"/>
        <v>1.1005776010596973</v>
      </c>
      <c r="AC91" s="2">
        <f t="shared" si="58"/>
        <v>2.7636927394887567</v>
      </c>
      <c r="AD91" s="2">
        <f t="shared" si="59"/>
        <v>0.82557904367006862</v>
      </c>
      <c r="AE91" s="2">
        <f t="shared" si="60"/>
        <v>0.13092436759330359</v>
      </c>
    </row>
    <row r="92" spans="1:31" x14ac:dyDescent="0.3">
      <c r="A92" s="23" t="s">
        <v>36</v>
      </c>
      <c r="B92" s="1" t="s">
        <v>34</v>
      </c>
      <c r="C92" s="1">
        <v>8.0396370228762504E-2</v>
      </c>
      <c r="D92" s="1">
        <v>0.59571619812583598</v>
      </c>
      <c r="F92" s="2">
        <v>9.81</v>
      </c>
      <c r="G92" s="2">
        <v>4000</v>
      </c>
      <c r="H92" s="18">
        <f t="shared" si="61"/>
        <v>0.3</v>
      </c>
      <c r="I92" s="2">
        <f t="shared" si="62"/>
        <v>0.1</v>
      </c>
      <c r="J92" s="2">
        <v>100</v>
      </c>
      <c r="K92" s="8">
        <v>1</v>
      </c>
      <c r="L92" s="2">
        <f t="shared" si="42"/>
        <v>946.42607033299214</v>
      </c>
      <c r="M92" s="4">
        <f t="shared" si="43"/>
        <v>1.4999999999999998</v>
      </c>
      <c r="N92" s="2" t="s">
        <v>29</v>
      </c>
      <c r="O92" s="2" t="e">
        <f t="shared" si="44"/>
        <v>#VALUE!</v>
      </c>
      <c r="P92" s="2">
        <f t="shared" si="45"/>
        <v>0.40428380187416402</v>
      </c>
      <c r="Q92" s="2">
        <f t="shared" si="46"/>
        <v>32.476721789001019</v>
      </c>
      <c r="R92" s="2">
        <f t="shared" si="47"/>
        <v>0.40361881644360392</v>
      </c>
      <c r="S92" s="2">
        <f t="shared" si="48"/>
        <v>80.463844761159351</v>
      </c>
      <c r="T92" s="5">
        <f t="shared" si="49"/>
        <v>9.2373855326002077E-3</v>
      </c>
      <c r="U92" s="5">
        <f t="shared" si="50"/>
        <v>11772</v>
      </c>
      <c r="V92" s="2">
        <f t="shared" si="51"/>
        <v>10825.573929667007</v>
      </c>
      <c r="W92" s="2">
        <f t="shared" si="52"/>
        <v>4218949.8326406945</v>
      </c>
      <c r="X92" s="2">
        <f t="shared" si="53"/>
        <v>1.0874250248976967</v>
      </c>
      <c r="Y92" s="12">
        <f t="shared" si="54"/>
        <v>8.0396370228762504E-2</v>
      </c>
      <c r="Z92" s="2">
        <f t="shared" si="55"/>
        <v>358.38853488283166</v>
      </c>
      <c r="AA92" s="2">
        <f t="shared" si="56"/>
        <v>389.72066146801222</v>
      </c>
      <c r="AB92" s="2">
        <f t="shared" si="57"/>
        <v>1.1028034509427149</v>
      </c>
      <c r="AC92" s="2">
        <f t="shared" si="58"/>
        <v>2.6522732950449788</v>
      </c>
      <c r="AD92" s="2">
        <f t="shared" si="59"/>
        <v>0.82224978216726308</v>
      </c>
      <c r="AE92" s="2">
        <f t="shared" si="60"/>
        <v>0.14215543051753066</v>
      </c>
    </row>
    <row r="93" spans="1:31" x14ac:dyDescent="0.3">
      <c r="A93" s="23" t="s">
        <v>36</v>
      </c>
      <c r="B93" s="1" t="s">
        <v>34</v>
      </c>
      <c r="C93" s="1">
        <v>8.3868067596338594E-2</v>
      </c>
      <c r="D93" s="1">
        <v>0.53949129852744304</v>
      </c>
      <c r="F93" s="2">
        <v>9.81</v>
      </c>
      <c r="G93" s="2">
        <v>4000</v>
      </c>
      <c r="H93" s="18">
        <f t="shared" si="61"/>
        <v>0.3</v>
      </c>
      <c r="I93" s="2">
        <f t="shared" si="62"/>
        <v>0.1</v>
      </c>
      <c r="J93" s="2">
        <v>100</v>
      </c>
      <c r="K93" s="8">
        <v>1</v>
      </c>
      <c r="L93" s="2">
        <f t="shared" si="42"/>
        <v>987.29489174409798</v>
      </c>
      <c r="M93" s="4">
        <f t="shared" si="43"/>
        <v>1.4999999999999998</v>
      </c>
      <c r="N93" s="2" t="s">
        <v>29</v>
      </c>
      <c r="O93" s="2" t="e">
        <f t="shared" si="44"/>
        <v>#VALUE!</v>
      </c>
      <c r="P93" s="2">
        <f t="shared" si="45"/>
        <v>0.46050870147255696</v>
      </c>
      <c r="Q93" s="2">
        <f t="shared" si="46"/>
        <v>32.354115324767712</v>
      </c>
      <c r="R93" s="2">
        <f t="shared" si="47"/>
        <v>0.43308359153967729</v>
      </c>
      <c r="S93" s="2">
        <f t="shared" si="48"/>
        <v>74.706398387766129</v>
      </c>
      <c r="T93" s="5">
        <f t="shared" si="49"/>
        <v>9.2723907604527877E-3</v>
      </c>
      <c r="U93" s="5">
        <f t="shared" si="50"/>
        <v>11772</v>
      </c>
      <c r="V93" s="2">
        <f t="shared" si="51"/>
        <v>10784.705108255905</v>
      </c>
      <c r="W93" s="2">
        <f t="shared" si="52"/>
        <v>4187155.1137934756</v>
      </c>
      <c r="X93" s="2">
        <f t="shared" si="53"/>
        <v>1.0915458403205018</v>
      </c>
      <c r="Y93" s="12">
        <f t="shared" si="54"/>
        <v>8.3868067596338594E-2</v>
      </c>
      <c r="Z93" s="2">
        <f t="shared" si="55"/>
        <v>355.68765832428437</v>
      </c>
      <c r="AA93" s="2">
        <f t="shared" si="56"/>
        <v>388.24938389721251</v>
      </c>
      <c r="AB93" s="2">
        <f t="shared" si="57"/>
        <v>1.1036380053219197</v>
      </c>
      <c r="AC93" s="2">
        <f t="shared" si="58"/>
        <v>2.6151596543473694</v>
      </c>
      <c r="AD93" s="2">
        <f t="shared" si="59"/>
        <v>0.82100670662696906</v>
      </c>
      <c r="AE93" s="2">
        <f t="shared" si="60"/>
        <v>0.14621892444401516</v>
      </c>
    </row>
    <row r="94" spans="1:31" x14ac:dyDescent="0.3">
      <c r="A94" s="23" t="s">
        <v>36</v>
      </c>
      <c r="B94" s="1" t="s">
        <v>34</v>
      </c>
      <c r="C94" s="1">
        <v>9.3229333899764705E-2</v>
      </c>
      <c r="D94" s="1">
        <v>0.51271753681392196</v>
      </c>
      <c r="F94" s="2">
        <v>9.81</v>
      </c>
      <c r="G94" s="2">
        <v>4000</v>
      </c>
      <c r="H94" s="18">
        <f t="shared" si="61"/>
        <v>0.3</v>
      </c>
      <c r="I94" s="2">
        <f t="shared" si="62"/>
        <v>0.1</v>
      </c>
      <c r="J94" s="2">
        <v>100</v>
      </c>
      <c r="K94" s="8">
        <v>1</v>
      </c>
      <c r="L94" s="2">
        <f t="shared" si="42"/>
        <v>1097.4957186680301</v>
      </c>
      <c r="M94" s="4">
        <f t="shared" si="43"/>
        <v>1.4999999999999998</v>
      </c>
      <c r="N94" s="2" t="s">
        <v>29</v>
      </c>
      <c r="O94" s="2" t="e">
        <f t="shared" si="44"/>
        <v>#VALUE!</v>
      </c>
      <c r="P94" s="2">
        <f t="shared" si="45"/>
        <v>0.48728246318607804</v>
      </c>
      <c r="Q94" s="2">
        <f t="shared" si="46"/>
        <v>32.02351284399591</v>
      </c>
      <c r="R94" s="2">
        <f t="shared" si="47"/>
        <v>0.51661257228132318</v>
      </c>
      <c r="S94" s="2">
        <f t="shared" si="48"/>
        <v>61.987482616968514</v>
      </c>
      <c r="T94" s="5">
        <f t="shared" si="49"/>
        <v>9.3681165292972234E-3</v>
      </c>
      <c r="U94" s="5">
        <f t="shared" si="50"/>
        <v>11772</v>
      </c>
      <c r="V94" s="2">
        <f t="shared" si="51"/>
        <v>10674.504281331971</v>
      </c>
      <c r="W94" s="2">
        <f t="shared" si="52"/>
        <v>4102021.4994782838</v>
      </c>
      <c r="X94" s="2">
        <f t="shared" si="53"/>
        <v>1.102814677828869</v>
      </c>
      <c r="Y94" s="12">
        <f t="shared" si="54"/>
        <v>9.3229333899764705E-2</v>
      </c>
      <c r="Z94" s="2">
        <f t="shared" si="55"/>
        <v>348.45578486903531</v>
      </c>
      <c r="AA94" s="2">
        <f t="shared" si="56"/>
        <v>384.28215412795089</v>
      </c>
      <c r="AB94" s="2">
        <f t="shared" si="57"/>
        <v>1.1059073879438464</v>
      </c>
      <c r="AC94" s="2">
        <f t="shared" si="58"/>
        <v>2.5245243224588343</v>
      </c>
      <c r="AD94" s="2">
        <f t="shared" si="59"/>
        <v>0.81764066223535836</v>
      </c>
      <c r="AE94" s="2">
        <f t="shared" si="60"/>
        <v>0.15690648066439461</v>
      </c>
    </row>
    <row r="95" spans="1:31" x14ac:dyDescent="0.3">
      <c r="A95" s="23" t="s">
        <v>36</v>
      </c>
      <c r="B95" s="1" t="s">
        <v>34</v>
      </c>
      <c r="C95" s="1">
        <v>9.8154652229253195E-2</v>
      </c>
      <c r="D95" s="1">
        <v>0.50200803212851397</v>
      </c>
      <c r="F95" s="2">
        <v>9.81</v>
      </c>
      <c r="G95" s="2">
        <v>4000</v>
      </c>
      <c r="H95" s="18">
        <f t="shared" si="61"/>
        <v>0.3</v>
      </c>
      <c r="I95" s="2">
        <f t="shared" si="62"/>
        <v>0.1</v>
      </c>
      <c r="J95" s="2">
        <v>100</v>
      </c>
      <c r="K95" s="8">
        <v>1</v>
      </c>
      <c r="L95" s="2">
        <f t="shared" si="42"/>
        <v>1155.4765660427686</v>
      </c>
      <c r="M95" s="4">
        <f t="shared" si="43"/>
        <v>1.4999999999999998</v>
      </c>
      <c r="N95" s="2" t="s">
        <v>29</v>
      </c>
      <c r="O95" s="2" t="e">
        <f t="shared" si="44"/>
        <v>#VALUE!</v>
      </c>
      <c r="P95" s="2">
        <f t="shared" si="45"/>
        <v>0.49799196787148603</v>
      </c>
      <c r="Q95" s="2">
        <f t="shared" si="46"/>
        <v>31.84957030187169</v>
      </c>
      <c r="R95" s="2">
        <f t="shared" si="47"/>
        <v>0.56289684765809411</v>
      </c>
      <c r="S95" s="2">
        <f t="shared" si="48"/>
        <v>56.581539645106083</v>
      </c>
      <c r="T95" s="5">
        <f t="shared" si="49"/>
        <v>9.4192793546847304E-3</v>
      </c>
      <c r="U95" s="5">
        <f t="shared" si="50"/>
        <v>11772</v>
      </c>
      <c r="V95" s="2">
        <f t="shared" si="51"/>
        <v>10616.523433957231</v>
      </c>
      <c r="W95" s="2">
        <f t="shared" si="52"/>
        <v>4057580.5136554684</v>
      </c>
      <c r="X95" s="2">
        <f t="shared" si="53"/>
        <v>1.1088375656334866</v>
      </c>
      <c r="Y95" s="12">
        <f t="shared" si="54"/>
        <v>9.8154652229253195E-2</v>
      </c>
      <c r="Z95" s="2">
        <f t="shared" si="55"/>
        <v>344.68064166288383</v>
      </c>
      <c r="AA95" s="2">
        <f t="shared" si="56"/>
        <v>382.19484362246021</v>
      </c>
      <c r="AB95" s="2">
        <f t="shared" si="57"/>
        <v>1.1071127133696979</v>
      </c>
      <c r="AC95" s="2">
        <f t="shared" si="58"/>
        <v>2.4815714849199799</v>
      </c>
      <c r="AD95" s="2">
        <f t="shared" si="59"/>
        <v>0.81586128314818751</v>
      </c>
      <c r="AE95" s="2">
        <f t="shared" si="60"/>
        <v>0.16238519072290136</v>
      </c>
    </row>
    <row r="96" spans="1:31" x14ac:dyDescent="0.3">
      <c r="A96" s="23" t="s">
        <v>36</v>
      </c>
      <c r="B96" s="1" t="s">
        <v>34</v>
      </c>
      <c r="C96" s="1">
        <v>0.11045148202486001</v>
      </c>
      <c r="D96" s="1">
        <v>0.50870147255689402</v>
      </c>
      <c r="F96" s="2">
        <v>9.81</v>
      </c>
      <c r="G96" s="2">
        <v>4000</v>
      </c>
      <c r="H96" s="18">
        <f t="shared" si="61"/>
        <v>0.3</v>
      </c>
      <c r="I96" s="2">
        <f t="shared" si="62"/>
        <v>0.1</v>
      </c>
      <c r="J96" s="2">
        <v>100</v>
      </c>
      <c r="K96" s="8">
        <v>1</v>
      </c>
      <c r="L96" s="2">
        <f t="shared" si="42"/>
        <v>1300.2348463966521</v>
      </c>
      <c r="M96" s="4">
        <f t="shared" si="43"/>
        <v>1.4999999999999998</v>
      </c>
      <c r="N96" s="2" t="s">
        <v>29</v>
      </c>
      <c r="O96" s="2" t="e">
        <f t="shared" si="44"/>
        <v>#VALUE!</v>
      </c>
      <c r="P96" s="2">
        <f t="shared" si="45"/>
        <v>0.49129852744310598</v>
      </c>
      <c r="Q96" s="2">
        <f t="shared" si="46"/>
        <v>31.415295460810043</v>
      </c>
      <c r="R96" s="2">
        <f t="shared" si="47"/>
        <v>0.68527241182756082</v>
      </c>
      <c r="S96" s="2">
        <f t="shared" si="48"/>
        <v>45.84351408081384</v>
      </c>
      <c r="T96" s="5">
        <f t="shared" si="49"/>
        <v>9.5494884131917222E-3</v>
      </c>
      <c r="U96" s="5">
        <f t="shared" si="50"/>
        <v>11772</v>
      </c>
      <c r="V96" s="2">
        <f t="shared" si="51"/>
        <v>10471.765153603348</v>
      </c>
      <c r="W96" s="2">
        <f t="shared" si="52"/>
        <v>3947683.1555599687</v>
      </c>
      <c r="X96" s="2">
        <f t="shared" si="53"/>
        <v>1.1241657760009294</v>
      </c>
      <c r="Y96" s="12">
        <f t="shared" si="54"/>
        <v>0.11045148202486001</v>
      </c>
      <c r="Z96" s="2">
        <f t="shared" si="55"/>
        <v>335.3451542269766</v>
      </c>
      <c r="AA96" s="2">
        <f t="shared" si="56"/>
        <v>376.98354552972052</v>
      </c>
      <c r="AB96" s="2">
        <f t="shared" si="57"/>
        <v>1.1101568007114768</v>
      </c>
      <c r="AC96" s="2">
        <f t="shared" si="58"/>
        <v>2.3858322448264864</v>
      </c>
      <c r="AD96" s="2">
        <f t="shared" si="59"/>
        <v>0.81139317916487208</v>
      </c>
      <c r="AE96" s="2">
        <f t="shared" si="60"/>
        <v>0.17567913820252276</v>
      </c>
    </row>
    <row r="97" spans="1:31" x14ac:dyDescent="0.3">
      <c r="A97" s="23" t="s">
        <v>36</v>
      </c>
      <c r="B97" s="1" t="s">
        <v>34</v>
      </c>
      <c r="C97" s="1">
        <v>0.122258941464916</v>
      </c>
      <c r="D97" s="1">
        <v>0.51004016064256996</v>
      </c>
      <c r="F97" s="2">
        <v>9.81</v>
      </c>
      <c r="G97" s="2">
        <v>4000</v>
      </c>
      <c r="H97" s="18">
        <f t="shared" si="61"/>
        <v>0.3</v>
      </c>
      <c r="I97" s="2">
        <f t="shared" si="62"/>
        <v>0.1</v>
      </c>
      <c r="J97" s="2">
        <v>100</v>
      </c>
      <c r="K97" s="8">
        <v>1</v>
      </c>
      <c r="L97" s="2">
        <f t="shared" si="42"/>
        <v>1439.2322589249911</v>
      </c>
      <c r="M97" s="4">
        <f t="shared" si="43"/>
        <v>1.4999999999999998</v>
      </c>
      <c r="N97" s="2" t="s">
        <v>29</v>
      </c>
      <c r="O97" s="2" t="e">
        <f t="shared" si="44"/>
        <v>#VALUE!</v>
      </c>
      <c r="P97" s="2">
        <f t="shared" si="45"/>
        <v>0.48995983935743004</v>
      </c>
      <c r="Q97" s="2">
        <f t="shared" si="46"/>
        <v>30.998303223225026</v>
      </c>
      <c r="R97" s="2">
        <f t="shared" si="47"/>
        <v>0.81166793148235827</v>
      </c>
      <c r="S97" s="2">
        <f t="shared" si="48"/>
        <v>38.190868483139994</v>
      </c>
      <c r="T97" s="5">
        <f t="shared" si="49"/>
        <v>9.6779490748135338E-3</v>
      </c>
      <c r="U97" s="5">
        <f t="shared" si="50"/>
        <v>11772</v>
      </c>
      <c r="V97" s="2">
        <f t="shared" si="51"/>
        <v>10332.767741075008</v>
      </c>
      <c r="W97" s="2">
        <f t="shared" si="52"/>
        <v>3843579.2108760122</v>
      </c>
      <c r="X97" s="2">
        <f t="shared" si="53"/>
        <v>1.1392881650870492</v>
      </c>
      <c r="Y97" s="12">
        <f t="shared" si="54"/>
        <v>0.122258941464916</v>
      </c>
      <c r="Z97" s="2">
        <f t="shared" si="55"/>
        <v>326.50180180734048</v>
      </c>
      <c r="AA97" s="2">
        <f t="shared" si="56"/>
        <v>371.97963867870038</v>
      </c>
      <c r="AB97" s="2">
        <f t="shared" si="57"/>
        <v>1.1131276455864962</v>
      </c>
      <c r="AC97" s="2">
        <f t="shared" si="58"/>
        <v>2.3064119307047859</v>
      </c>
      <c r="AD97" s="2">
        <f t="shared" si="59"/>
        <v>0.80706787732786434</v>
      </c>
      <c r="AE97" s="2">
        <f t="shared" si="60"/>
        <v>0.18798632082001365</v>
      </c>
    </row>
    <row r="98" spans="1:31" x14ac:dyDescent="0.3">
      <c r="A98" s="23" t="s">
        <v>36</v>
      </c>
      <c r="B98" s="1" t="s">
        <v>34</v>
      </c>
      <c r="C98" s="1">
        <v>0.114893357768919</v>
      </c>
      <c r="D98" s="1">
        <v>0.48058902275769699</v>
      </c>
      <c r="F98" s="2">
        <v>9.81</v>
      </c>
      <c r="G98" s="2">
        <v>4000</v>
      </c>
      <c r="H98" s="18">
        <f t="shared" si="61"/>
        <v>0.3</v>
      </c>
      <c r="I98" s="2">
        <f t="shared" si="62"/>
        <v>0.1</v>
      </c>
      <c r="J98" s="2">
        <v>100</v>
      </c>
      <c r="K98" s="8">
        <v>1</v>
      </c>
      <c r="L98" s="2">
        <f t="shared" si="42"/>
        <v>1352.5246076557144</v>
      </c>
      <c r="M98" s="4">
        <f t="shared" si="43"/>
        <v>1.4999999999999998</v>
      </c>
      <c r="N98" s="2" t="s">
        <v>29</v>
      </c>
      <c r="O98" s="2" t="e">
        <f t="shared" si="44"/>
        <v>#VALUE!</v>
      </c>
      <c r="P98" s="2">
        <f t="shared" si="45"/>
        <v>0.51941097724230301</v>
      </c>
      <c r="Q98" s="2">
        <f t="shared" si="46"/>
        <v>31.258426177032856</v>
      </c>
      <c r="R98" s="2">
        <f t="shared" si="47"/>
        <v>0.73181651376615908</v>
      </c>
      <c r="S98" s="2">
        <f t="shared" si="48"/>
        <v>42.713474742688049</v>
      </c>
      <c r="T98" s="5">
        <f t="shared" si="49"/>
        <v>9.5974121761902755E-3</v>
      </c>
      <c r="U98" s="5">
        <f t="shared" si="50"/>
        <v>11772</v>
      </c>
      <c r="V98" s="2">
        <f t="shared" si="51"/>
        <v>10419.475392344286</v>
      </c>
      <c r="W98" s="2">
        <f t="shared" si="52"/>
        <v>3908356.8282600516</v>
      </c>
      <c r="X98" s="2">
        <f t="shared" si="53"/>
        <v>1.1298073613811193</v>
      </c>
      <c r="Y98" s="12">
        <f t="shared" si="54"/>
        <v>0.11489335776891899</v>
      </c>
      <c r="Z98" s="2">
        <f t="shared" si="55"/>
        <v>332.00448761978009</v>
      </c>
      <c r="AA98" s="2">
        <f t="shared" si="56"/>
        <v>375.10111412439426</v>
      </c>
      <c r="AB98" s="2">
        <f t="shared" si="57"/>
        <v>1.1112688270494078</v>
      </c>
      <c r="AC98" s="2">
        <f t="shared" si="58"/>
        <v>2.3546811783694661</v>
      </c>
      <c r="AD98" s="2">
        <f t="shared" si="59"/>
        <v>0.8097700991128175</v>
      </c>
      <c r="AE98" s="2">
        <f t="shared" si="60"/>
        <v>0.18035815137209524</v>
      </c>
    </row>
    <row r="99" spans="1:31" x14ac:dyDescent="0.3">
      <c r="A99" s="23" t="s">
        <v>36</v>
      </c>
      <c r="B99" s="1" t="s">
        <v>34</v>
      </c>
      <c r="C99" s="1">
        <v>0.158212843172608</v>
      </c>
      <c r="D99" s="1">
        <v>0.43373493975903599</v>
      </c>
      <c r="F99" s="2">
        <v>9.81</v>
      </c>
      <c r="G99" s="2">
        <v>4000</v>
      </c>
      <c r="H99" s="18">
        <f t="shared" si="61"/>
        <v>0.3</v>
      </c>
      <c r="I99" s="2">
        <f t="shared" si="62"/>
        <v>0.1</v>
      </c>
      <c r="J99" s="2">
        <v>100</v>
      </c>
      <c r="K99" s="8">
        <v>1</v>
      </c>
      <c r="L99" s="2">
        <f t="shared" si="42"/>
        <v>1862.4815898279414</v>
      </c>
      <c r="M99" s="4">
        <f t="shared" si="43"/>
        <v>1.4999999999999998</v>
      </c>
      <c r="N99" s="2" t="s">
        <v>29</v>
      </c>
      <c r="O99" s="2" t="e">
        <f t="shared" si="44"/>
        <v>#VALUE!</v>
      </c>
      <c r="P99" s="2">
        <f t="shared" si="45"/>
        <v>0.56626506024096401</v>
      </c>
      <c r="Q99" s="2">
        <f t="shared" si="46"/>
        <v>29.728555230516175</v>
      </c>
      <c r="R99" s="2">
        <f t="shared" si="47"/>
        <v>1.2473267242832931</v>
      </c>
      <c r="S99" s="2">
        <f t="shared" si="48"/>
        <v>23.83381567295292</v>
      </c>
      <c r="T99" s="5">
        <f t="shared" si="49"/>
        <v>1.0091307756928998E-2</v>
      </c>
      <c r="U99" s="5">
        <f t="shared" si="50"/>
        <v>11772</v>
      </c>
      <c r="V99" s="2">
        <f t="shared" si="51"/>
        <v>9909.5184101720588</v>
      </c>
      <c r="W99" s="2">
        <f t="shared" si="52"/>
        <v>3535147.9843754028</v>
      </c>
      <c r="X99" s="2">
        <f t="shared" si="53"/>
        <v>1.1879487491456815</v>
      </c>
      <c r="Y99" s="12">
        <f t="shared" si="54"/>
        <v>0.158212843172608</v>
      </c>
      <c r="Z99" s="2">
        <f t="shared" si="55"/>
        <v>300.30139180898766</v>
      </c>
      <c r="AA99" s="2">
        <f t="shared" si="56"/>
        <v>356.74266276619409</v>
      </c>
      <c r="AB99" s="2">
        <f t="shared" si="57"/>
        <v>1.1224778834874405</v>
      </c>
      <c r="AC99" s="2">
        <f t="shared" si="58"/>
        <v>2.1164913992502421</v>
      </c>
      <c r="AD99" s="2">
        <f t="shared" si="59"/>
        <v>0.79367813213439831</v>
      </c>
      <c r="AE99" s="2">
        <f t="shared" si="60"/>
        <v>0.22323741455050147</v>
      </c>
    </row>
    <row r="100" spans="1:31" x14ac:dyDescent="0.3">
      <c r="A100" s="23" t="s">
        <v>36</v>
      </c>
      <c r="B100" s="1" t="s">
        <v>34</v>
      </c>
      <c r="C100" s="1">
        <v>0.13807620807131701</v>
      </c>
      <c r="D100" s="1">
        <v>0.36144578313253001</v>
      </c>
      <c r="F100" s="2">
        <v>9.81</v>
      </c>
      <c r="G100" s="2">
        <v>4000</v>
      </c>
      <c r="H100" s="18">
        <f t="shared" si="61"/>
        <v>0.3</v>
      </c>
      <c r="I100" s="2">
        <f t="shared" si="62"/>
        <v>0.1</v>
      </c>
      <c r="J100" s="2">
        <v>100</v>
      </c>
      <c r="K100" s="8">
        <v>1</v>
      </c>
      <c r="L100" s="2">
        <f t="shared" si="42"/>
        <v>1625.4331214155438</v>
      </c>
      <c r="M100" s="4">
        <f t="shared" si="43"/>
        <v>1.4999999999999998</v>
      </c>
      <c r="N100" s="2" t="s">
        <v>29</v>
      </c>
      <c r="O100" s="2" t="e">
        <f t="shared" si="44"/>
        <v>#VALUE!</v>
      </c>
      <c r="P100" s="2">
        <f t="shared" si="45"/>
        <v>0.63855421686747005</v>
      </c>
      <c r="Q100" s="2">
        <f t="shared" si="46"/>
        <v>30.439700635753365</v>
      </c>
      <c r="R100" s="2">
        <f t="shared" si="47"/>
        <v>0.99412750147838902</v>
      </c>
      <c r="S100" s="2">
        <f t="shared" si="48"/>
        <v>30.619513684598619</v>
      </c>
      <c r="T100" s="5">
        <f t="shared" si="49"/>
        <v>9.8555502759324395E-3</v>
      </c>
      <c r="U100" s="5">
        <f t="shared" si="50"/>
        <v>11772</v>
      </c>
      <c r="V100" s="2">
        <f t="shared" si="51"/>
        <v>10146.566878584455</v>
      </c>
      <c r="W100" s="2">
        <f t="shared" si="52"/>
        <v>3706301.4991771351</v>
      </c>
      <c r="X100" s="2">
        <f t="shared" si="53"/>
        <v>1.160195378482767</v>
      </c>
      <c r="Y100" s="12">
        <f t="shared" si="54"/>
        <v>0.13807620807131701</v>
      </c>
      <c r="Z100" s="2">
        <f t="shared" si="55"/>
        <v>314.84042636570973</v>
      </c>
      <c r="AA100" s="2">
        <f t="shared" si="56"/>
        <v>365.27640762904036</v>
      </c>
      <c r="AB100" s="2">
        <f t="shared" si="57"/>
        <v>1.1171834104462988</v>
      </c>
      <c r="AC100" s="2">
        <f t="shared" si="58"/>
        <v>2.2147470699072032</v>
      </c>
      <c r="AD100" s="2">
        <f t="shared" si="59"/>
        <v>0.8012186390791185</v>
      </c>
      <c r="AE100" s="2">
        <f t="shared" si="60"/>
        <v>0.20386925149989785</v>
      </c>
    </row>
    <row r="101" spans="1:31" x14ac:dyDescent="0.3">
      <c r="A101" s="23" t="s">
        <v>36</v>
      </c>
      <c r="B101" s="1" t="s">
        <v>34</v>
      </c>
      <c r="C101" s="1">
        <v>0.16463064229035801</v>
      </c>
      <c r="D101" s="1">
        <v>0.38955823293172698</v>
      </c>
      <c r="F101" s="2">
        <v>9.81</v>
      </c>
      <c r="G101" s="2">
        <v>4000</v>
      </c>
      <c r="H101" s="18">
        <f t="shared" si="61"/>
        <v>0.3</v>
      </c>
      <c r="I101" s="2">
        <f t="shared" si="62"/>
        <v>0.1</v>
      </c>
      <c r="J101" s="2">
        <v>100</v>
      </c>
      <c r="K101" s="8">
        <v>1</v>
      </c>
      <c r="L101" s="2">
        <f t="shared" si="42"/>
        <v>1938.0319210420944</v>
      </c>
      <c r="M101" s="4">
        <f t="shared" si="43"/>
        <v>1.4999999999999998</v>
      </c>
      <c r="N101" s="2" t="s">
        <v>29</v>
      </c>
      <c r="O101" s="2" t="e">
        <f t="shared" si="44"/>
        <v>#VALUE!</v>
      </c>
      <c r="P101" s="2">
        <f t="shared" si="45"/>
        <v>0.61044176706827302</v>
      </c>
      <c r="Q101" s="2">
        <f t="shared" si="46"/>
        <v>29.501904236873717</v>
      </c>
      <c r="R101" s="2">
        <f t="shared" si="47"/>
        <v>1.3327901968693874</v>
      </c>
      <c r="S101" s="2">
        <f t="shared" si="48"/>
        <v>22.135445103191202</v>
      </c>
      <c r="T101" s="5">
        <f t="shared" si="49"/>
        <v>1.0168835123023592E-2</v>
      </c>
      <c r="U101" s="5">
        <f t="shared" si="50"/>
        <v>11772</v>
      </c>
      <c r="V101" s="2">
        <f t="shared" si="51"/>
        <v>9833.968078957907</v>
      </c>
      <c r="W101" s="2">
        <f t="shared" si="52"/>
        <v>3481449.4144066693</v>
      </c>
      <c r="X101" s="2">
        <f t="shared" si="53"/>
        <v>1.1970752706823371</v>
      </c>
      <c r="Y101" s="12">
        <f t="shared" si="54"/>
        <v>0.16463064229035801</v>
      </c>
      <c r="Z101" s="2">
        <f t="shared" si="55"/>
        <v>295.73984152282276</v>
      </c>
      <c r="AA101" s="2">
        <f t="shared" si="56"/>
        <v>354.02285084248456</v>
      </c>
      <c r="AB101" s="2">
        <f t="shared" si="57"/>
        <v>1.1241973148634967</v>
      </c>
      <c r="AC101" s="2">
        <f t="shared" si="58"/>
        <v>2.0886236701199743</v>
      </c>
      <c r="AD101" s="2">
        <f t="shared" si="59"/>
        <v>0.79125216749842098</v>
      </c>
      <c r="AE101" s="2">
        <f t="shared" si="60"/>
        <v>0.22923430420979751</v>
      </c>
    </row>
    <row r="102" spans="1:31" x14ac:dyDescent="0.3">
      <c r="A102" s="23" t="s">
        <v>36</v>
      </c>
      <c r="B102" s="1" t="s">
        <v>34</v>
      </c>
      <c r="C102" s="1">
        <v>0.177906871438192</v>
      </c>
      <c r="D102" s="1">
        <v>0.40562248995983902</v>
      </c>
      <c r="F102" s="2">
        <v>9.81</v>
      </c>
      <c r="G102" s="2">
        <v>4000</v>
      </c>
      <c r="H102" s="18">
        <f t="shared" si="61"/>
        <v>0.3</v>
      </c>
      <c r="I102" s="2">
        <f t="shared" si="62"/>
        <v>0.1</v>
      </c>
      <c r="J102" s="2">
        <v>100</v>
      </c>
      <c r="K102" s="8">
        <v>1</v>
      </c>
      <c r="L102" s="2">
        <f t="shared" si="42"/>
        <v>2094.3196905703962</v>
      </c>
      <c r="M102" s="4">
        <f t="shared" si="43"/>
        <v>1.4999999999999998</v>
      </c>
      <c r="N102" s="2" t="s">
        <v>29</v>
      </c>
      <c r="O102" s="2" t="e">
        <f t="shared" si="44"/>
        <v>#VALUE!</v>
      </c>
      <c r="P102" s="2">
        <f t="shared" si="45"/>
        <v>0.59437751004016093</v>
      </c>
      <c r="Q102" s="2">
        <f t="shared" si="46"/>
        <v>29.033040928288816</v>
      </c>
      <c r="R102" s="2">
        <f t="shared" si="47"/>
        <v>1.5166959938036924</v>
      </c>
      <c r="S102" s="2">
        <f t="shared" si="48"/>
        <v>19.142294201936551</v>
      </c>
      <c r="T102" s="5">
        <f t="shared" si="49"/>
        <v>1.0333054699333618E-2</v>
      </c>
      <c r="U102" s="5">
        <f t="shared" si="50"/>
        <v>11772</v>
      </c>
      <c r="V102" s="2">
        <f t="shared" si="51"/>
        <v>9677.6803094296065</v>
      </c>
      <c r="W102" s="2">
        <f t="shared" si="52"/>
        <v>3371669.8621747741</v>
      </c>
      <c r="X102" s="2">
        <f t="shared" si="53"/>
        <v>1.2164071992055534</v>
      </c>
      <c r="Y102" s="12">
        <f t="shared" si="54"/>
        <v>0.177906871438192</v>
      </c>
      <c r="Z102" s="2">
        <f t="shared" si="55"/>
        <v>286.41436138079968</v>
      </c>
      <c r="AA102" s="2">
        <f t="shared" si="56"/>
        <v>348.39649113946575</v>
      </c>
      <c r="AB102" s="2">
        <f t="shared" si="57"/>
        <v>1.1278050844517753</v>
      </c>
      <c r="AC102" s="2">
        <f t="shared" si="58"/>
        <v>2.0353206810254245</v>
      </c>
      <c r="AD102" s="2">
        <f t="shared" si="59"/>
        <v>0.78619794381350483</v>
      </c>
      <c r="AE102" s="2">
        <f t="shared" si="60"/>
        <v>0.24139835648978916</v>
      </c>
    </row>
    <row r="103" spans="1:31" x14ac:dyDescent="0.3">
      <c r="A103" s="23" t="s">
        <v>36</v>
      </c>
      <c r="B103" s="1" t="s">
        <v>34</v>
      </c>
      <c r="C103" s="1">
        <v>0.19026232029388501</v>
      </c>
      <c r="D103" s="1">
        <v>0.29317269076305202</v>
      </c>
      <c r="F103" s="2">
        <v>9.81</v>
      </c>
      <c r="G103" s="2">
        <v>4000</v>
      </c>
      <c r="H103" s="18">
        <f t="shared" si="61"/>
        <v>0.3</v>
      </c>
      <c r="I103" s="2">
        <f t="shared" si="62"/>
        <v>0.1</v>
      </c>
      <c r="J103" s="2">
        <v>100</v>
      </c>
      <c r="K103" s="8">
        <v>1</v>
      </c>
      <c r="L103" s="2">
        <f t="shared" si="42"/>
        <v>2239.7680344996143</v>
      </c>
      <c r="M103" s="4">
        <f t="shared" si="43"/>
        <v>1.4999999999999998</v>
      </c>
      <c r="N103" s="2" t="s">
        <v>29</v>
      </c>
      <c r="O103" s="2" t="e">
        <f t="shared" si="44"/>
        <v>#VALUE!</v>
      </c>
      <c r="P103" s="2">
        <f t="shared" si="45"/>
        <v>0.70682730923694792</v>
      </c>
      <c r="Q103" s="2">
        <f t="shared" si="46"/>
        <v>28.596695896501156</v>
      </c>
      <c r="R103" s="2">
        <f t="shared" si="47"/>
        <v>1.6962843295825321</v>
      </c>
      <c r="S103" s="2">
        <f t="shared" si="48"/>
        <v>16.85843310451321</v>
      </c>
      <c r="T103" s="5">
        <f t="shared" si="49"/>
        <v>1.0490722462685117E-2</v>
      </c>
      <c r="U103" s="5">
        <f t="shared" si="50"/>
        <v>11772</v>
      </c>
      <c r="V103" s="2">
        <f t="shared" si="51"/>
        <v>9532.2319655003848</v>
      </c>
      <c r="W103" s="2">
        <f t="shared" si="52"/>
        <v>3271084.0647878647</v>
      </c>
      <c r="X103" s="2">
        <f t="shared" si="53"/>
        <v>1.2349678483072921</v>
      </c>
      <c r="Y103" s="12">
        <f t="shared" si="54"/>
        <v>0.19026232029388501</v>
      </c>
      <c r="Z103" s="2">
        <f t="shared" si="55"/>
        <v>277.86986618993075</v>
      </c>
      <c r="AA103" s="2">
        <f t="shared" si="56"/>
        <v>343.16035075801392</v>
      </c>
      <c r="AB103" s="2">
        <f t="shared" si="57"/>
        <v>1.1312260095935367</v>
      </c>
      <c r="AC103" s="2">
        <f t="shared" si="58"/>
        <v>1.9902737883014721</v>
      </c>
      <c r="AD103" s="2">
        <f t="shared" si="59"/>
        <v>0.78145007272014411</v>
      </c>
      <c r="AE103" s="2">
        <f t="shared" si="60"/>
        <v>0.25244940598822574</v>
      </c>
    </row>
    <row r="104" spans="1:31" x14ac:dyDescent="0.3">
      <c r="A104" s="23" t="s">
        <v>36</v>
      </c>
      <c r="B104" s="1" t="s">
        <v>34</v>
      </c>
      <c r="C104" s="1">
        <v>0.22419353510804099</v>
      </c>
      <c r="D104" s="1">
        <v>0.32797858099062899</v>
      </c>
      <c r="F104" s="2">
        <v>9.81</v>
      </c>
      <c r="G104" s="2">
        <v>4000</v>
      </c>
      <c r="H104" s="18">
        <f t="shared" si="61"/>
        <v>0.3</v>
      </c>
      <c r="I104" s="2">
        <f t="shared" si="62"/>
        <v>0.1</v>
      </c>
      <c r="J104" s="2">
        <v>100</v>
      </c>
      <c r="K104" s="8">
        <v>1</v>
      </c>
      <c r="L104" s="2">
        <f t="shared" si="42"/>
        <v>2639.2062952918586</v>
      </c>
      <c r="M104" s="4">
        <f t="shared" si="43"/>
        <v>1.4999999999999998</v>
      </c>
      <c r="N104" s="2" t="s">
        <v>29</v>
      </c>
      <c r="O104" s="2" t="e">
        <f t="shared" si="44"/>
        <v>#VALUE!</v>
      </c>
      <c r="P104" s="2">
        <f t="shared" si="45"/>
        <v>0.67202141900937096</v>
      </c>
      <c r="Q104" s="2">
        <f t="shared" si="46"/>
        <v>27.398381114124422</v>
      </c>
      <c r="R104" s="2">
        <f t="shared" si="47"/>
        <v>2.2298850567143003</v>
      </c>
      <c r="S104" s="2">
        <f t="shared" si="48"/>
        <v>12.28690287493809</v>
      </c>
      <c r="T104" s="5">
        <f t="shared" si="49"/>
        <v>1.0949552046538396E-2</v>
      </c>
      <c r="U104" s="5">
        <f t="shared" si="50"/>
        <v>11772</v>
      </c>
      <c r="V104" s="2">
        <f t="shared" si="51"/>
        <v>9132.7937047081414</v>
      </c>
      <c r="W104" s="2">
        <f t="shared" si="52"/>
        <v>3002685.1506992392</v>
      </c>
      <c r="X104" s="2">
        <f t="shared" si="53"/>
        <v>1.2889812669184999</v>
      </c>
      <c r="Y104" s="12">
        <f t="shared" si="54"/>
        <v>0.22419353510804099</v>
      </c>
      <c r="Z104" s="2">
        <f t="shared" si="55"/>
        <v>255.07009435093775</v>
      </c>
      <c r="AA104" s="2">
        <f t="shared" si="56"/>
        <v>328.78057336949303</v>
      </c>
      <c r="AB104" s="2">
        <f t="shared" si="57"/>
        <v>1.1409525227284922</v>
      </c>
      <c r="AC104" s="2">
        <f t="shared" si="58"/>
        <v>1.8843260756313307</v>
      </c>
      <c r="AD104" s="2">
        <f t="shared" si="59"/>
        <v>0.76818328683873971</v>
      </c>
      <c r="AE104" s="2">
        <f t="shared" si="60"/>
        <v>0.28163581612803334</v>
      </c>
    </row>
    <row r="105" spans="1:31" x14ac:dyDescent="0.3">
      <c r="A105" s="23" t="s">
        <v>36</v>
      </c>
      <c r="B105" s="1" t="s">
        <v>34</v>
      </c>
      <c r="C105" s="1">
        <v>0.27193052653418098</v>
      </c>
      <c r="D105" s="1">
        <v>0.30254350736278401</v>
      </c>
      <c r="F105" s="2">
        <v>9.81</v>
      </c>
      <c r="G105" s="2">
        <v>4000</v>
      </c>
      <c r="H105" s="18">
        <f t="shared" si="61"/>
        <v>0.3</v>
      </c>
      <c r="I105" s="2">
        <f t="shared" si="62"/>
        <v>0.1</v>
      </c>
      <c r="J105" s="2">
        <v>100</v>
      </c>
      <c r="K105" s="8">
        <v>1</v>
      </c>
      <c r="L105" s="2">
        <f t="shared" si="42"/>
        <v>3201.1661583603786</v>
      </c>
      <c r="M105" s="4">
        <f t="shared" si="43"/>
        <v>1.4999999999999998</v>
      </c>
      <c r="N105" s="2" t="s">
        <v>29</v>
      </c>
      <c r="O105" s="2" t="e">
        <f t="shared" si="44"/>
        <v>#VALUE!</v>
      </c>
      <c r="P105" s="2">
        <f t="shared" si="45"/>
        <v>0.69745649263721599</v>
      </c>
      <c r="Q105" s="2">
        <f t="shared" si="46"/>
        <v>25.712501524918867</v>
      </c>
      <c r="R105" s="2">
        <f t="shared" si="47"/>
        <v>3.0761483422921101</v>
      </c>
      <c r="S105" s="2">
        <f t="shared" si="48"/>
        <v>8.3586676141111838</v>
      </c>
      <c r="T105" s="5">
        <f t="shared" si="49"/>
        <v>1.1667476216161222E-2</v>
      </c>
      <c r="U105" s="5">
        <f t="shared" si="50"/>
        <v>11772</v>
      </c>
      <c r="V105" s="2">
        <f t="shared" si="51"/>
        <v>8570.8338416396236</v>
      </c>
      <c r="W105" s="2">
        <f t="shared" si="52"/>
        <v>2644530.9386758199</v>
      </c>
      <c r="X105" s="2">
        <f t="shared" si="53"/>
        <v>1.3734953001664987</v>
      </c>
      <c r="Y105" s="12">
        <f t="shared" si="54"/>
        <v>0.27193052653418098</v>
      </c>
      <c r="Z105" s="2">
        <f t="shared" si="55"/>
        <v>224.64584936084097</v>
      </c>
      <c r="AA105" s="2">
        <f t="shared" si="56"/>
        <v>308.55001829902631</v>
      </c>
      <c r="AB105" s="2">
        <f t="shared" si="57"/>
        <v>1.1555365511693034</v>
      </c>
      <c r="AC105" s="2">
        <f t="shared" si="58"/>
        <v>1.7668964512739447</v>
      </c>
      <c r="AD105" s="2">
        <f t="shared" si="59"/>
        <v>0.74891516581445705</v>
      </c>
      <c r="AE105" s="2">
        <f t="shared" si="60"/>
        <v>0.32031538821753319</v>
      </c>
    </row>
  </sheetData>
  <mergeCells count="2">
    <mergeCell ref="F1:AE1"/>
    <mergeCell ref="A1:D1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40"/>
  <sheetViews>
    <sheetView topLeftCell="D1" workbookViewId="0">
      <selection activeCell="S4" sqref="S4"/>
    </sheetView>
  </sheetViews>
  <sheetFormatPr baseColWidth="10" defaultColWidth="8.88671875" defaultRowHeight="14.4" x14ac:dyDescent="0.3"/>
  <cols>
    <col min="1" max="1" width="13.109375" style="16" bestFit="1" customWidth="1"/>
    <col min="2" max="2" width="22" style="16" customWidth="1"/>
    <col min="3" max="3" width="20" customWidth="1"/>
    <col min="4" max="4" width="37.5546875" customWidth="1"/>
    <col min="7" max="7" width="9.5546875" bestFit="1" customWidth="1"/>
    <col min="19" max="19" width="12" bestFit="1" customWidth="1"/>
    <col min="21" max="21" width="11.109375" bestFit="1" customWidth="1"/>
    <col min="22" max="22" width="12.6640625" bestFit="1" customWidth="1"/>
    <col min="23" max="23" width="12" bestFit="1" customWidth="1"/>
    <col min="28" max="28" width="17" bestFit="1" customWidth="1"/>
    <col min="29" max="29" width="16.6640625" bestFit="1" customWidth="1"/>
    <col min="30" max="30" width="23.88671875" bestFit="1" customWidth="1"/>
    <col min="31" max="31" width="16.6640625" bestFit="1" customWidth="1"/>
  </cols>
  <sheetData>
    <row r="1" spans="1:31" ht="15" thickBot="1" x14ac:dyDescent="0.35">
      <c r="B1" s="42" t="s">
        <v>49</v>
      </c>
      <c r="C1" s="42"/>
      <c r="D1" s="43"/>
      <c r="E1" s="16"/>
      <c r="F1" s="33" t="s">
        <v>23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5"/>
    </row>
    <row r="2" spans="1:31" ht="20.399999999999999" thickBot="1" x14ac:dyDescent="0.35">
      <c r="B2" s="17" t="s">
        <v>35</v>
      </c>
      <c r="C2" s="17" t="s">
        <v>1</v>
      </c>
      <c r="D2" s="17" t="s">
        <v>41</v>
      </c>
      <c r="E2" s="16"/>
      <c r="F2" s="6" t="s">
        <v>6</v>
      </c>
      <c r="G2" s="6" t="s">
        <v>8</v>
      </c>
      <c r="H2" s="6" t="s">
        <v>9</v>
      </c>
      <c r="I2" s="6" t="s">
        <v>14</v>
      </c>
      <c r="J2" s="6" t="s">
        <v>7</v>
      </c>
      <c r="K2" s="6" t="s">
        <v>19</v>
      </c>
      <c r="L2" s="6" t="s">
        <v>4</v>
      </c>
      <c r="M2" s="20" t="s">
        <v>2</v>
      </c>
      <c r="N2" s="6" t="s">
        <v>38</v>
      </c>
      <c r="O2" s="6" t="s">
        <v>39</v>
      </c>
      <c r="P2" s="6" t="s">
        <v>40</v>
      </c>
      <c r="Q2" s="6" t="s">
        <v>10</v>
      </c>
      <c r="R2" s="6" t="s">
        <v>15</v>
      </c>
      <c r="S2" s="6" t="s">
        <v>16</v>
      </c>
      <c r="T2" s="15" t="s">
        <v>17</v>
      </c>
      <c r="U2" s="21" t="s">
        <v>3</v>
      </c>
      <c r="V2" s="6" t="s">
        <v>21</v>
      </c>
      <c r="W2" s="6" t="s">
        <v>13</v>
      </c>
      <c r="X2" s="6" t="s">
        <v>0</v>
      </c>
      <c r="Y2" s="6" t="s">
        <v>1</v>
      </c>
      <c r="Z2" s="6" t="s">
        <v>12</v>
      </c>
      <c r="AA2" s="6" t="s">
        <v>11</v>
      </c>
      <c r="AB2" s="6" t="s">
        <v>20</v>
      </c>
      <c r="AC2" s="6" t="s">
        <v>5</v>
      </c>
      <c r="AD2" s="6" t="s">
        <v>27</v>
      </c>
      <c r="AE2" s="6" t="s">
        <v>28</v>
      </c>
    </row>
    <row r="3" spans="1:31" x14ac:dyDescent="0.3">
      <c r="A3" s="16" t="s">
        <v>55</v>
      </c>
      <c r="B3" s="2" t="s">
        <v>56</v>
      </c>
      <c r="C3" s="2">
        <v>4.3134974478258002E-3</v>
      </c>
      <c r="D3" s="2">
        <v>0.92686567164179101</v>
      </c>
      <c r="E3" s="16"/>
      <c r="F3" s="2">
        <v>9.81</v>
      </c>
      <c r="G3" s="2">
        <v>3000</v>
      </c>
      <c r="H3" s="18">
        <f>50.4/1000</f>
        <v>5.04E-2</v>
      </c>
      <c r="I3" s="2">
        <f>26.2/1000</f>
        <v>2.6199999999999998E-2</v>
      </c>
      <c r="J3" s="2">
        <v>100</v>
      </c>
      <c r="K3" s="8">
        <v>1</v>
      </c>
      <c r="L3" s="2">
        <f>C3*U3</f>
        <v>6.3980899864314704</v>
      </c>
      <c r="M3" s="4">
        <f>H3/I3/2</f>
        <v>0.96183206106870234</v>
      </c>
      <c r="N3" s="2" t="s">
        <v>29</v>
      </c>
      <c r="O3" s="2" t="e">
        <f>N3-1</f>
        <v>#VALUE!</v>
      </c>
      <c r="P3" s="2">
        <f>1-D3</f>
        <v>7.3134328358208989E-2</v>
      </c>
      <c r="Q3" s="2">
        <f>(((U3-L3)*(H3^K3))/(J3))^(1/K3)</f>
        <v>0.74434445064683852</v>
      </c>
      <c r="R3" s="2">
        <f>(((L3^(((2*K3)+3)/3))*(H3^K3)*(1/J3))/((U3*M3)^(2*K3/3)))^(1/K3)</f>
        <v>8.7693568754903487E-5</v>
      </c>
      <c r="S3" s="2">
        <f>Q3/R3</f>
        <v>8488.0164100428137</v>
      </c>
      <c r="T3" s="5">
        <f>(J3+(L3*H3/Q3))/U3</f>
        <v>6.7710587425219848E-2</v>
      </c>
      <c r="U3" s="5">
        <f>F3*G3*H3</f>
        <v>1483.2719999999999</v>
      </c>
      <c r="V3" s="2">
        <f>J3*((Q3/H3)^(K3))</f>
        <v>1476.8739100135685</v>
      </c>
      <c r="W3" s="2">
        <f>G3*Q3*Q3</f>
        <v>1662.1459836262313</v>
      </c>
      <c r="X3" s="2">
        <f>U3/V3</f>
        <v>1.0043321843138069</v>
      </c>
      <c r="Y3" s="12">
        <f>L3/U3</f>
        <v>4.3134974478258002E-3</v>
      </c>
      <c r="Z3" s="2">
        <f>W3/U3</f>
        <v>1.1205941888111091</v>
      </c>
      <c r="AA3" s="2">
        <f>W3/V3</f>
        <v>1.1254488093780197</v>
      </c>
      <c r="AB3" s="2">
        <f>(X3*M3)^((1)/((2*K3)+3))</f>
        <v>0.99310536007943551</v>
      </c>
      <c r="AC3" s="2">
        <f>((1/Y3)*M3)^(1/3)</f>
        <v>6.0639633530326682</v>
      </c>
      <c r="AD3" s="2">
        <f>((1/X3)*(1/M3))^((2)/((2*K3)+3))</f>
        <v>1.0139332103887102</v>
      </c>
      <c r="AE3" s="2">
        <f>((Y3)*(1/M3))^(2/3)</f>
        <v>2.719486229015115E-2</v>
      </c>
    </row>
    <row r="4" spans="1:31" x14ac:dyDescent="0.3">
      <c r="A4" s="16" t="s">
        <v>55</v>
      </c>
      <c r="B4" s="2" t="s">
        <v>56</v>
      </c>
      <c r="C4" s="1">
        <v>1.3654670371088201E-2</v>
      </c>
      <c r="D4" s="1">
        <v>0.81324543123000004</v>
      </c>
      <c r="E4" s="16"/>
      <c r="F4" s="2">
        <v>9.81</v>
      </c>
      <c r="G4" s="2">
        <v>3000</v>
      </c>
      <c r="H4" s="18">
        <f>50.4/1000</f>
        <v>5.04E-2</v>
      </c>
      <c r="I4" s="2">
        <f>26.2/1000</f>
        <v>2.6199999999999998E-2</v>
      </c>
      <c r="J4" s="2">
        <v>100</v>
      </c>
      <c r="K4" s="8">
        <v>1</v>
      </c>
      <c r="L4" s="2">
        <f>C4*U4</f>
        <v>20.253590230664738</v>
      </c>
      <c r="M4" s="4">
        <f t="shared" ref="M4:M27" si="0">H4/I4/2</f>
        <v>0.96183206106870234</v>
      </c>
      <c r="N4" s="2" t="s">
        <v>29</v>
      </c>
      <c r="O4" s="2" t="e">
        <f>N4-1</f>
        <v>#VALUE!</v>
      </c>
      <c r="P4" s="2">
        <f>1-D4</f>
        <v>0.18675456876999996</v>
      </c>
      <c r="Q4" s="2">
        <f>(((U4-L4)*(H4^K4))/(J4))^(1/K4)</f>
        <v>0.73736127852374489</v>
      </c>
      <c r="R4" s="2">
        <f>(((L4^(((2*K4)+3)/3))*(H4^K4)*(1/J4))/((U4*M4)^(2*K4/3)))^(1/K4)</f>
        <v>5.9848582628519711E-4</v>
      </c>
      <c r="S4" s="2">
        <f>Q4/R4</f>
        <v>1232.0446803235893</v>
      </c>
      <c r="T4" s="5">
        <f>(J4+(L4*H4/Q4))/U4</f>
        <v>6.8351839821186089E-2</v>
      </c>
      <c r="U4" s="5">
        <f>F4*G4*H4</f>
        <v>1483.2719999999999</v>
      </c>
      <c r="V4" s="2">
        <f>J4*((Q4/H4)^(K4))</f>
        <v>1463.018409769335</v>
      </c>
      <c r="W4" s="2">
        <f>G4*Q4*Q4</f>
        <v>1631.1049651985152</v>
      </c>
      <c r="X4" s="2">
        <f>U4/V4</f>
        <v>1.0138437015525035</v>
      </c>
      <c r="Y4" s="12">
        <f>L4/U4</f>
        <v>1.3654670371088201E-2</v>
      </c>
      <c r="Z4" s="2">
        <f>W4/U4</f>
        <v>1.0996667942215017</v>
      </c>
      <c r="AA4" s="2">
        <f>W4/V4</f>
        <v>1.1148902531279024</v>
      </c>
      <c r="AB4" s="2">
        <f>(X4*M4)^((1)/((2*K4)+3))</f>
        <v>0.99497931330445422</v>
      </c>
      <c r="AC4" s="2">
        <f>((1/Y4)*M4)^(1/3)</f>
        <v>4.1298981650579698</v>
      </c>
      <c r="AD4" s="2">
        <f>((1/X4)*(1/M4))^((2)/((2*K4)+3))</f>
        <v>1.0101175047037889</v>
      </c>
      <c r="AE4" s="2">
        <f>((Y4)*(1/M4))^(2/3)</f>
        <v>5.8630191685823375E-2</v>
      </c>
    </row>
    <row r="5" spans="1:31" x14ac:dyDescent="0.3">
      <c r="A5" s="16" t="s">
        <v>55</v>
      </c>
      <c r="B5" s="2" t="s">
        <v>56</v>
      </c>
      <c r="C5" s="1">
        <v>3.8982576296009097E-2</v>
      </c>
      <c r="D5" s="1">
        <v>0.65541300000000002</v>
      </c>
      <c r="F5" s="2">
        <v>9.81</v>
      </c>
      <c r="G5" s="2">
        <v>3000</v>
      </c>
      <c r="H5" s="18">
        <f t="shared" ref="H5:H21" si="1">50.4/1000</f>
        <v>5.04E-2</v>
      </c>
      <c r="I5" s="2">
        <f t="shared" ref="I5:I21" si="2">26.2/1000</f>
        <v>2.6199999999999998E-2</v>
      </c>
      <c r="J5" s="2">
        <v>100</v>
      </c>
      <c r="K5" s="8">
        <v>1</v>
      </c>
      <c r="L5" s="2">
        <f>C5*U5</f>
        <v>57.821763907734002</v>
      </c>
      <c r="M5" s="4">
        <f t="shared" si="0"/>
        <v>0.96183206106870234</v>
      </c>
      <c r="N5" s="2" t="s">
        <v>29</v>
      </c>
      <c r="O5" s="2" t="e">
        <f>N5-1</f>
        <v>#VALUE!</v>
      </c>
      <c r="P5" s="2">
        <f>1-D5</f>
        <v>0.34458699999999998</v>
      </c>
      <c r="Q5" s="2">
        <f>(((U5-L5)*(H5^K5))/(J5))^(1/K5)</f>
        <v>0.71842691899050193</v>
      </c>
      <c r="R5" s="2">
        <f t="shared" ref="R5:R21" si="3">(((L5^(((2*K5)+3)/3))*(H5^K5)*(1/J5))/((U5*M5)^(2*K5/3)))^(1/K5)</f>
        <v>3.4385029236396292E-3</v>
      </c>
      <c r="S5" s="2">
        <f t="shared" ref="S5:S23" si="4">Q5/R5</f>
        <v>208.9359628143205</v>
      </c>
      <c r="T5" s="5">
        <f t="shared" ref="T5:T23" si="5">(J5+(L5*H5/Q5))/U5</f>
        <v>7.0153273308327019E-2</v>
      </c>
      <c r="U5" s="5">
        <f t="shared" ref="U5:U23" si="6">F5*G5*H5</f>
        <v>1483.2719999999999</v>
      </c>
      <c r="V5" s="2">
        <f t="shared" ref="V5:V21" si="7">J5*((Q5/H5)^(K5))</f>
        <v>1425.4502360922656</v>
      </c>
      <c r="W5" s="2">
        <f t="shared" ref="W5:W23" si="8">G5*Q5*Q5</f>
        <v>1548.4117137905557</v>
      </c>
      <c r="X5" s="2">
        <f t="shared" ref="X5:X23" si="9">U5/V5</f>
        <v>1.0405638600658884</v>
      </c>
      <c r="Y5" s="12">
        <f t="shared" ref="Y5:Y23" si="10">L5/U5</f>
        <v>3.8982576296009097E-2</v>
      </c>
      <c r="Z5" s="2">
        <f t="shared" ref="Z5:Z23" si="11">W5/U5</f>
        <v>1.0439162296534661</v>
      </c>
      <c r="AA5" s="2">
        <f t="shared" ref="AA5:AA23" si="12">W5/V5</f>
        <v>1.086261501513639</v>
      </c>
      <c r="AB5" s="2">
        <f t="shared" ref="AB5:AB21" si="13">(X5*M5)^((1)/((2*K5)+3))</f>
        <v>1.0001694789841666</v>
      </c>
      <c r="AC5" s="2">
        <f t="shared" ref="AC5:AC23" si="14">((1/Y5)*M5)^(1/3)</f>
        <v>2.9112281185664131</v>
      </c>
      <c r="AD5" s="2">
        <f>((1/X5)*(1/M5))^((2)/((2*K5)+3))</f>
        <v>0.99966112818157693</v>
      </c>
      <c r="AE5" s="2">
        <f>((Y5)*(1/M5))^(2/3)</f>
        <v>0.11799063146325706</v>
      </c>
    </row>
    <row r="6" spans="1:31" x14ac:dyDescent="0.3">
      <c r="A6" s="16" t="s">
        <v>55</v>
      </c>
      <c r="B6" s="2" t="s">
        <v>56</v>
      </c>
      <c r="C6" s="1">
        <v>2.8325041459369801E-2</v>
      </c>
      <c r="D6" s="1">
        <v>0.72686567164179094</v>
      </c>
      <c r="F6" s="2">
        <v>9.81</v>
      </c>
      <c r="G6" s="2">
        <v>3000</v>
      </c>
      <c r="H6" s="18">
        <f t="shared" si="1"/>
        <v>5.04E-2</v>
      </c>
      <c r="I6" s="2">
        <f t="shared" si="2"/>
        <v>2.6199999999999998E-2</v>
      </c>
      <c r="J6" s="2">
        <v>100</v>
      </c>
      <c r="K6" s="8">
        <v>1</v>
      </c>
      <c r="L6" s="2">
        <f t="shared" ref="L6:L21" si="15">C6*U6</f>
        <v>42.013740895522361</v>
      </c>
      <c r="M6" s="4">
        <f t="shared" si="0"/>
        <v>0.96183206106870234</v>
      </c>
      <c r="N6" s="2" t="s">
        <v>29</v>
      </c>
      <c r="O6" s="2" t="e">
        <f t="shared" ref="O6:O21" si="16">N6-1</f>
        <v>#VALUE!</v>
      </c>
      <c r="P6" s="2">
        <f t="shared" ref="P6:P21" si="17">1-D6</f>
        <v>0.27313432835820906</v>
      </c>
      <c r="Q6" s="2">
        <f t="shared" ref="Q6:Q21" si="18">(((U6-L6)*(H6^K6))/(J6))^(1/K6)</f>
        <v>0.72639416258865663</v>
      </c>
      <c r="R6" s="2">
        <f t="shared" si="3"/>
        <v>2.0193088982625612E-3</v>
      </c>
      <c r="S6" s="2">
        <f t="shared" si="4"/>
        <v>359.72414285583318</v>
      </c>
      <c r="T6" s="5">
        <f t="shared" si="5"/>
        <v>6.9383817486072724E-2</v>
      </c>
      <c r="U6" s="5">
        <f t="shared" si="6"/>
        <v>1483.2719999999999</v>
      </c>
      <c r="V6" s="2">
        <f t="shared" si="7"/>
        <v>1441.2582591044775</v>
      </c>
      <c r="W6" s="2">
        <f t="shared" si="8"/>
        <v>1582.9454383286272</v>
      </c>
      <c r="X6" s="2">
        <f t="shared" si="9"/>
        <v>1.0291507373020208</v>
      </c>
      <c r="Y6" s="12">
        <f t="shared" si="10"/>
        <v>2.8325041459369801E-2</v>
      </c>
      <c r="Z6" s="2">
        <f t="shared" si="11"/>
        <v>1.067198354940043</v>
      </c>
      <c r="AA6" s="2">
        <f t="shared" si="12"/>
        <v>1.0983079738340489</v>
      </c>
      <c r="AB6" s="2">
        <f t="shared" si="13"/>
        <v>0.99796577564284883</v>
      </c>
      <c r="AC6" s="2">
        <f t="shared" si="14"/>
        <v>3.2382439669649634</v>
      </c>
      <c r="AD6" s="2">
        <f t="shared" ref="AD6:AD21" si="19">((1/X6)*(1/M6))^((2)/((2*K6)+3))</f>
        <v>1.0040808966773764</v>
      </c>
      <c r="AE6" s="2">
        <f t="shared" ref="AE6:AE21" si="20">((Y6)*(1/M6))^(2/3)</f>
        <v>9.5363211866655653E-2</v>
      </c>
    </row>
    <row r="7" spans="1:31" x14ac:dyDescent="0.3">
      <c r="A7" s="16" t="s">
        <v>55</v>
      </c>
      <c r="B7" s="2" t="s">
        <v>56</v>
      </c>
      <c r="C7" s="1">
        <v>6.0522495746376297E-2</v>
      </c>
      <c r="D7" s="1">
        <v>0.6</v>
      </c>
      <c r="F7" s="2">
        <v>9.81</v>
      </c>
      <c r="G7" s="2">
        <v>3000</v>
      </c>
      <c r="H7" s="18">
        <f t="shared" si="1"/>
        <v>5.04E-2</v>
      </c>
      <c r="I7" s="2">
        <f t="shared" si="2"/>
        <v>2.6199999999999998E-2</v>
      </c>
      <c r="J7" s="2">
        <v>100</v>
      </c>
      <c r="K7" s="8">
        <v>1</v>
      </c>
      <c r="L7" s="2">
        <f t="shared" si="15"/>
        <v>89.771323310719055</v>
      </c>
      <c r="M7" s="4">
        <f t="shared" si="0"/>
        <v>0.96183206106870234</v>
      </c>
      <c r="N7" s="2" t="s">
        <v>29</v>
      </c>
      <c r="O7" s="2" t="e">
        <f t="shared" si="16"/>
        <v>#VALUE!</v>
      </c>
      <c r="P7" s="2">
        <f t="shared" si="17"/>
        <v>0.4</v>
      </c>
      <c r="Q7" s="2">
        <f t="shared" si="18"/>
        <v>0.70232434105139763</v>
      </c>
      <c r="R7" s="2">
        <f t="shared" si="3"/>
        <v>7.1578053337049766E-3</v>
      </c>
      <c r="S7" s="2">
        <f t="shared" si="4"/>
        <v>98.120067298318816</v>
      </c>
      <c r="T7" s="5">
        <f t="shared" si="5"/>
        <v>7.1761716138942166E-2</v>
      </c>
      <c r="U7" s="5">
        <f t="shared" si="6"/>
        <v>1483.2719999999999</v>
      </c>
      <c r="V7" s="2">
        <f t="shared" si="7"/>
        <v>1393.5006766892809</v>
      </c>
      <c r="W7" s="2">
        <f t="shared" si="8"/>
        <v>1479.7784400998398</v>
      </c>
      <c r="X7" s="2">
        <f t="shared" si="9"/>
        <v>1.0644214422084102</v>
      </c>
      <c r="Y7" s="12">
        <f t="shared" si="10"/>
        <v>6.0522495746376297E-2</v>
      </c>
      <c r="Z7" s="2">
        <f t="shared" si="11"/>
        <v>0.99764469369059749</v>
      </c>
      <c r="AA7" s="2">
        <f t="shared" si="12"/>
        <v>1.0619144036697135</v>
      </c>
      <c r="AB7" s="2">
        <f t="shared" si="13"/>
        <v>1.0047142751033433</v>
      </c>
      <c r="AC7" s="2">
        <f t="shared" si="14"/>
        <v>2.5141671076012377</v>
      </c>
      <c r="AD7" s="2">
        <f t="shared" si="19"/>
        <v>0.990637706330737</v>
      </c>
      <c r="AE7" s="2">
        <f t="shared" si="20"/>
        <v>0.15820190887212091</v>
      </c>
    </row>
    <row r="8" spans="1:31" x14ac:dyDescent="0.3">
      <c r="A8" s="16" t="s">
        <v>55</v>
      </c>
      <c r="B8" s="2" t="s">
        <v>56</v>
      </c>
      <c r="C8" s="1">
        <v>5.8893411729232598E-2</v>
      </c>
      <c r="D8" s="1">
        <v>0.56716417910447703</v>
      </c>
      <c r="F8" s="2">
        <v>9.81</v>
      </c>
      <c r="G8" s="2">
        <v>3000</v>
      </c>
      <c r="H8" s="18">
        <f t="shared" si="1"/>
        <v>5.04E-2</v>
      </c>
      <c r="I8" s="2">
        <f t="shared" si="2"/>
        <v>2.6199999999999998E-2</v>
      </c>
      <c r="J8" s="2">
        <v>100</v>
      </c>
      <c r="K8" s="8">
        <v>1</v>
      </c>
      <c r="L8" s="2">
        <f t="shared" si="15"/>
        <v>87.354948602442292</v>
      </c>
      <c r="M8" s="4">
        <f t="shared" si="0"/>
        <v>0.96183206106870234</v>
      </c>
      <c r="N8" s="2" t="s">
        <v>29</v>
      </c>
      <c r="O8" s="2" t="e">
        <f t="shared" si="16"/>
        <v>#VALUE!</v>
      </c>
      <c r="P8" s="2">
        <f t="shared" si="17"/>
        <v>0.43283582089552297</v>
      </c>
      <c r="Q8" s="2">
        <f t="shared" si="18"/>
        <v>0.70354219390436901</v>
      </c>
      <c r="R8" s="2">
        <f t="shared" si="3"/>
        <v>6.8395840676206254E-3</v>
      </c>
      <c r="S8" s="2">
        <f t="shared" si="4"/>
        <v>102.86330088916056</v>
      </c>
      <c r="T8" s="5">
        <f t="shared" si="5"/>
        <v>7.1637494434130214E-2</v>
      </c>
      <c r="U8" s="5">
        <f t="shared" si="6"/>
        <v>1483.2719999999999</v>
      </c>
      <c r="V8" s="2">
        <f t="shared" si="7"/>
        <v>1395.9170513975575</v>
      </c>
      <c r="W8" s="2">
        <f t="shared" si="8"/>
        <v>1484.9148558113184</v>
      </c>
      <c r="X8" s="2">
        <f t="shared" si="9"/>
        <v>1.0625788964430121</v>
      </c>
      <c r="Y8" s="12">
        <f t="shared" si="10"/>
        <v>5.8893411729232598E-2</v>
      </c>
      <c r="Z8" s="2">
        <f t="shared" si="11"/>
        <v>1.0011075890405257</v>
      </c>
      <c r="AA8" s="2">
        <f t="shared" si="12"/>
        <v>1.063755797183406</v>
      </c>
      <c r="AB8" s="2">
        <f t="shared" si="13"/>
        <v>1.0043661958354906</v>
      </c>
      <c r="AC8" s="2">
        <f t="shared" si="14"/>
        <v>2.5371385169377647</v>
      </c>
      <c r="AD8" s="2">
        <f t="shared" si="19"/>
        <v>0.99132446819208697</v>
      </c>
      <c r="AE8" s="2">
        <f t="shared" si="20"/>
        <v>0.15535013786719412</v>
      </c>
    </row>
    <row r="9" spans="1:31" x14ac:dyDescent="0.3">
      <c r="A9" s="16" t="s">
        <v>55</v>
      </c>
      <c r="B9" s="2" t="s">
        <v>56</v>
      </c>
      <c r="C9" s="1">
        <v>8.7648338394607006E-2</v>
      </c>
      <c r="D9" s="1">
        <v>0.54925373134328304</v>
      </c>
      <c r="F9" s="2">
        <v>9.81</v>
      </c>
      <c r="G9" s="2">
        <v>3000</v>
      </c>
      <c r="H9" s="18">
        <f t="shared" si="1"/>
        <v>5.04E-2</v>
      </c>
      <c r="I9" s="2">
        <f t="shared" si="2"/>
        <v>2.6199999999999998E-2</v>
      </c>
      <c r="J9" s="2">
        <v>100</v>
      </c>
      <c r="K9" s="8">
        <v>1</v>
      </c>
      <c r="L9" s="2">
        <f t="shared" si="15"/>
        <v>130.00632618724552</v>
      </c>
      <c r="M9" s="4">
        <f t="shared" si="0"/>
        <v>0.96183206106870234</v>
      </c>
      <c r="N9" s="2" t="s">
        <v>29</v>
      </c>
      <c r="O9" s="2" t="e">
        <f t="shared" si="16"/>
        <v>#VALUE!</v>
      </c>
      <c r="P9" s="2">
        <f t="shared" si="17"/>
        <v>0.45074626865671696</v>
      </c>
      <c r="Q9" s="2">
        <f t="shared" si="18"/>
        <v>0.6820458996016282</v>
      </c>
      <c r="R9" s="2">
        <f t="shared" si="3"/>
        <v>1.3268586118527322E-2</v>
      </c>
      <c r="S9" s="2">
        <f t="shared" si="4"/>
        <v>51.403057832157955</v>
      </c>
      <c r="T9" s="5">
        <f t="shared" si="5"/>
        <v>7.3895319991569203E-2</v>
      </c>
      <c r="U9" s="5">
        <f t="shared" si="6"/>
        <v>1483.2719999999999</v>
      </c>
      <c r="V9" s="2">
        <f t="shared" si="7"/>
        <v>1353.2656738127544</v>
      </c>
      <c r="W9" s="2">
        <f t="shared" si="8"/>
        <v>1395.5598274901829</v>
      </c>
      <c r="X9" s="2">
        <f t="shared" si="9"/>
        <v>1.0960685907453485</v>
      </c>
      <c r="Y9" s="12">
        <f t="shared" si="10"/>
        <v>8.7648338394607006E-2</v>
      </c>
      <c r="Z9" s="2">
        <f t="shared" si="11"/>
        <v>0.94086575320654808</v>
      </c>
      <c r="AA9" s="2">
        <f t="shared" si="12"/>
        <v>1.0312534001976619</v>
      </c>
      <c r="AB9" s="2">
        <f t="shared" si="13"/>
        <v>1.010618854684689</v>
      </c>
      <c r="AC9" s="2">
        <f t="shared" si="14"/>
        <v>2.2222104594158179</v>
      </c>
      <c r="AD9" s="2">
        <f t="shared" si="19"/>
        <v>0.97909584409765704</v>
      </c>
      <c r="AE9" s="2">
        <f t="shared" si="20"/>
        <v>0.2025021437884886</v>
      </c>
    </row>
    <row r="10" spans="1:31" x14ac:dyDescent="0.3">
      <c r="A10" s="16" t="s">
        <v>55</v>
      </c>
      <c r="B10" s="2" t="s">
        <v>56</v>
      </c>
      <c r="C10" s="1">
        <v>9.4231009454890005E-2</v>
      </c>
      <c r="D10" s="1">
        <v>0.54477611940298498</v>
      </c>
      <c r="F10" s="2">
        <v>9.81</v>
      </c>
      <c r="G10" s="2">
        <v>3000</v>
      </c>
      <c r="H10" s="18">
        <f t="shared" si="1"/>
        <v>5.04E-2</v>
      </c>
      <c r="I10" s="2">
        <f t="shared" si="2"/>
        <v>2.6199999999999998E-2</v>
      </c>
      <c r="J10" s="2">
        <v>100</v>
      </c>
      <c r="K10" s="8">
        <v>1</v>
      </c>
      <c r="L10" s="2">
        <f t="shared" si="15"/>
        <v>139.77021785617359</v>
      </c>
      <c r="M10" s="4">
        <f t="shared" si="0"/>
        <v>0.96183206106870234</v>
      </c>
      <c r="N10" s="2" t="s">
        <v>29</v>
      </c>
      <c r="O10" s="2" t="e">
        <f t="shared" si="16"/>
        <v>#VALUE!</v>
      </c>
      <c r="P10" s="2">
        <f t="shared" si="17"/>
        <v>0.45522388059701502</v>
      </c>
      <c r="Q10" s="2">
        <f t="shared" si="18"/>
        <v>0.67712489820048849</v>
      </c>
      <c r="R10" s="2">
        <f t="shared" si="3"/>
        <v>1.497068162799128E-2</v>
      </c>
      <c r="S10" s="2">
        <f t="shared" si="4"/>
        <v>45.230064670832427</v>
      </c>
      <c r="T10" s="5">
        <f t="shared" si="5"/>
        <v>7.4432353815288552E-2</v>
      </c>
      <c r="U10" s="5">
        <f t="shared" si="6"/>
        <v>1483.2719999999999</v>
      </c>
      <c r="V10" s="2">
        <f t="shared" si="7"/>
        <v>1343.5017821438264</v>
      </c>
      <c r="W10" s="2">
        <f t="shared" si="8"/>
        <v>1375.4943832890658</v>
      </c>
      <c r="X10" s="2">
        <f t="shared" si="9"/>
        <v>1.1040342630831066</v>
      </c>
      <c r="Y10" s="12">
        <f t="shared" si="10"/>
        <v>9.4231009454889991E-2</v>
      </c>
      <c r="Z10" s="2">
        <f t="shared" si="11"/>
        <v>0.92733792810021753</v>
      </c>
      <c r="AA10" s="2">
        <f t="shared" si="12"/>
        <v>1.0238128460791387</v>
      </c>
      <c r="AB10" s="2">
        <f t="shared" si="13"/>
        <v>1.0120835363966059</v>
      </c>
      <c r="AC10" s="2">
        <f t="shared" si="14"/>
        <v>2.1692110195256067</v>
      </c>
      <c r="AD10" s="2">
        <f t="shared" si="19"/>
        <v>0.97626401047733902</v>
      </c>
      <c r="AE10" s="2">
        <f t="shared" si="20"/>
        <v>0.21251833076082968</v>
      </c>
    </row>
    <row r="11" spans="1:31" x14ac:dyDescent="0.3">
      <c r="A11" s="16" t="s">
        <v>55</v>
      </c>
      <c r="B11" s="2" t="s">
        <v>56</v>
      </c>
      <c r="C11" s="1">
        <v>0.134183627317955</v>
      </c>
      <c r="D11" s="1">
        <v>0.32686567164179098</v>
      </c>
      <c r="F11" s="2">
        <v>9.81</v>
      </c>
      <c r="G11" s="2">
        <v>3000</v>
      </c>
      <c r="H11" s="18">
        <f t="shared" si="1"/>
        <v>5.04E-2</v>
      </c>
      <c r="I11" s="2">
        <f t="shared" si="2"/>
        <v>2.6199999999999998E-2</v>
      </c>
      <c r="J11" s="2">
        <v>100</v>
      </c>
      <c r="K11" s="8">
        <v>1</v>
      </c>
      <c r="L11" s="2">
        <f t="shared" si="15"/>
        <v>199.03081725915774</v>
      </c>
      <c r="M11" s="4">
        <f t="shared" si="0"/>
        <v>0.96183206106870234</v>
      </c>
      <c r="N11" s="2" t="s">
        <v>29</v>
      </c>
      <c r="O11" s="2" t="e">
        <f t="shared" si="16"/>
        <v>#VALUE!</v>
      </c>
      <c r="P11" s="2">
        <f t="shared" si="17"/>
        <v>0.67313432835820897</v>
      </c>
      <c r="Q11" s="2">
        <f t="shared" si="18"/>
        <v>0.64725755610138447</v>
      </c>
      <c r="R11" s="2">
        <f t="shared" si="3"/>
        <v>2.6982636429599558E-2</v>
      </c>
      <c r="S11" s="2">
        <f t="shared" si="4"/>
        <v>23.987928599569774</v>
      </c>
      <c r="T11" s="5">
        <f t="shared" si="5"/>
        <v>7.7866993633219944E-2</v>
      </c>
      <c r="U11" s="5">
        <f t="shared" si="6"/>
        <v>1483.2719999999999</v>
      </c>
      <c r="V11" s="2">
        <f t="shared" si="7"/>
        <v>1284.2411827408421</v>
      </c>
      <c r="W11" s="2">
        <f t="shared" si="8"/>
        <v>1256.8270317910108</v>
      </c>
      <c r="X11" s="2">
        <f t="shared" si="9"/>
        <v>1.154979313803334</v>
      </c>
      <c r="Y11" s="12">
        <f t="shared" si="10"/>
        <v>0.134183627317955</v>
      </c>
      <c r="Z11" s="2">
        <f t="shared" si="11"/>
        <v>0.84733415839509596</v>
      </c>
      <c r="AA11" s="2">
        <f t="shared" si="12"/>
        <v>0.97865342482529349</v>
      </c>
      <c r="AB11" s="2">
        <f t="shared" si="13"/>
        <v>1.0212561645851468</v>
      </c>
      <c r="AC11" s="2">
        <f t="shared" si="14"/>
        <v>1.9281163642074872</v>
      </c>
      <c r="AD11" s="2">
        <f t="shared" si="19"/>
        <v>0.95880572352308058</v>
      </c>
      <c r="AE11" s="2">
        <f t="shared" si="20"/>
        <v>0.26898837968969275</v>
      </c>
    </row>
    <row r="12" spans="1:31" x14ac:dyDescent="0.3">
      <c r="A12" s="16" t="s">
        <v>55</v>
      </c>
      <c r="B12" s="2" t="s">
        <v>56</v>
      </c>
      <c r="C12" s="1">
        <v>0.153900626736447</v>
      </c>
      <c r="D12" s="1">
        <v>0.36716417910447702</v>
      </c>
      <c r="F12" s="2">
        <v>9.81</v>
      </c>
      <c r="G12" s="2">
        <v>3000</v>
      </c>
      <c r="H12" s="18">
        <f t="shared" si="1"/>
        <v>5.04E-2</v>
      </c>
      <c r="I12" s="2">
        <f t="shared" si="2"/>
        <v>2.6199999999999998E-2</v>
      </c>
      <c r="J12" s="2">
        <v>100</v>
      </c>
      <c r="K12" s="8">
        <v>1</v>
      </c>
      <c r="L12" s="2">
        <f t="shared" si="15"/>
        <v>228.27649042062319</v>
      </c>
      <c r="M12" s="4">
        <f t="shared" si="0"/>
        <v>0.96183206106870234</v>
      </c>
      <c r="N12" s="2" t="s">
        <v>29</v>
      </c>
      <c r="O12" s="2" t="e">
        <f t="shared" si="16"/>
        <v>#VALUE!</v>
      </c>
      <c r="P12" s="2">
        <f t="shared" si="17"/>
        <v>0.63283582089552293</v>
      </c>
      <c r="Q12" s="2">
        <f t="shared" si="18"/>
        <v>0.63251773682800583</v>
      </c>
      <c r="R12" s="2">
        <f t="shared" si="3"/>
        <v>3.3909325360506601E-2</v>
      </c>
      <c r="S12" s="2">
        <f t="shared" si="4"/>
        <v>18.653209112932824</v>
      </c>
      <c r="T12" s="5">
        <f t="shared" si="5"/>
        <v>7.9681560002964405E-2</v>
      </c>
      <c r="U12" s="5">
        <f t="shared" si="6"/>
        <v>1483.2719999999999</v>
      </c>
      <c r="V12" s="2">
        <f t="shared" si="7"/>
        <v>1254.9955095793766</v>
      </c>
      <c r="W12" s="2">
        <f t="shared" si="8"/>
        <v>1200.2360622060673</v>
      </c>
      <c r="X12" s="2">
        <f t="shared" si="9"/>
        <v>1.1818942686871703</v>
      </c>
      <c r="Y12" s="12">
        <f t="shared" si="10"/>
        <v>0.153900626736447</v>
      </c>
      <c r="Z12" s="2">
        <f t="shared" si="11"/>
        <v>0.80918136539088403</v>
      </c>
      <c r="AA12" s="2">
        <f t="shared" si="12"/>
        <v>0.95636681808394486</v>
      </c>
      <c r="AB12" s="2">
        <f t="shared" si="13"/>
        <v>1.0259721575685314</v>
      </c>
      <c r="AC12" s="2">
        <f t="shared" si="14"/>
        <v>1.8419858387799244</v>
      </c>
      <c r="AD12" s="2">
        <f t="shared" si="19"/>
        <v>0.9500114716730147</v>
      </c>
      <c r="AE12" s="2">
        <f t="shared" si="20"/>
        <v>0.2947320914972511</v>
      </c>
    </row>
    <row r="13" spans="1:31" x14ac:dyDescent="0.3">
      <c r="A13" s="16" t="s">
        <v>55</v>
      </c>
      <c r="B13" s="2" t="s">
        <v>56</v>
      </c>
      <c r="C13" s="1">
        <v>0.161563610518834</v>
      </c>
      <c r="D13" s="1">
        <v>0.29104477611940199</v>
      </c>
      <c r="F13" s="2">
        <v>9.81</v>
      </c>
      <c r="G13" s="2">
        <v>3000</v>
      </c>
      <c r="H13" s="18">
        <f t="shared" si="1"/>
        <v>5.04E-2</v>
      </c>
      <c r="I13" s="2">
        <f t="shared" si="2"/>
        <v>2.6199999999999998E-2</v>
      </c>
      <c r="J13" s="2">
        <v>100</v>
      </c>
      <c r="K13" s="8">
        <v>1</v>
      </c>
      <c r="L13" s="2">
        <f t="shared" si="15"/>
        <v>239.64277970149195</v>
      </c>
      <c r="M13" s="4">
        <f t="shared" si="0"/>
        <v>0.96183206106870234</v>
      </c>
      <c r="N13" s="2" t="s">
        <v>29</v>
      </c>
      <c r="O13" s="2" t="e">
        <f t="shared" si="16"/>
        <v>#VALUE!</v>
      </c>
      <c r="P13" s="2">
        <f t="shared" si="17"/>
        <v>0.70895522388059806</v>
      </c>
      <c r="Q13" s="2">
        <f t="shared" si="18"/>
        <v>0.62678912703044798</v>
      </c>
      <c r="R13" s="2">
        <f t="shared" si="3"/>
        <v>3.6769784557458156E-2</v>
      </c>
      <c r="S13" s="2">
        <f t="shared" si="4"/>
        <v>17.046309478669869</v>
      </c>
      <c r="T13" s="5">
        <f t="shared" si="5"/>
        <v>8.040981859206961E-2</v>
      </c>
      <c r="U13" s="5">
        <f t="shared" si="6"/>
        <v>1483.2719999999999</v>
      </c>
      <c r="V13" s="2">
        <f t="shared" si="7"/>
        <v>1243.629220298508</v>
      </c>
      <c r="W13" s="2">
        <f t="shared" si="8"/>
        <v>1178.5938292907731</v>
      </c>
      <c r="X13" s="2">
        <f t="shared" si="9"/>
        <v>1.1926963244269626</v>
      </c>
      <c r="Y13" s="12">
        <f t="shared" si="10"/>
        <v>0.161563610518834</v>
      </c>
      <c r="Z13" s="2">
        <f t="shared" si="11"/>
        <v>0.79459049270179249</v>
      </c>
      <c r="AA13" s="2">
        <f t="shared" si="12"/>
        <v>0.94770516007003724</v>
      </c>
      <c r="AB13" s="2">
        <f t="shared" si="13"/>
        <v>1.0278407363741584</v>
      </c>
      <c r="AC13" s="2">
        <f t="shared" si="14"/>
        <v>1.8123910123326539</v>
      </c>
      <c r="AD13" s="2">
        <f t="shared" si="19"/>
        <v>0.94656043565472536</v>
      </c>
      <c r="AE13" s="2">
        <f t="shared" si="20"/>
        <v>0.30443613545071119</v>
      </c>
    </row>
    <row r="14" spans="1:31" x14ac:dyDescent="0.3">
      <c r="A14" s="16" t="s">
        <v>55</v>
      </c>
      <c r="B14" s="2" t="s">
        <v>56</v>
      </c>
      <c r="C14" s="1">
        <v>0.175741207382998</v>
      </c>
      <c r="D14" s="1">
        <v>0.328358208955223</v>
      </c>
      <c r="F14" s="2">
        <v>9.81</v>
      </c>
      <c r="G14" s="2">
        <v>3000</v>
      </c>
      <c r="H14" s="18">
        <f t="shared" si="1"/>
        <v>5.04E-2</v>
      </c>
      <c r="I14" s="2">
        <f t="shared" si="2"/>
        <v>2.6199999999999998E-2</v>
      </c>
      <c r="J14" s="2">
        <v>100</v>
      </c>
      <c r="K14" s="8">
        <v>1</v>
      </c>
      <c r="L14" s="2">
        <f t="shared" si="15"/>
        <v>260.67201215739419</v>
      </c>
      <c r="M14" s="4">
        <f t="shared" si="0"/>
        <v>0.96183206106870234</v>
      </c>
      <c r="N14" s="2" t="s">
        <v>29</v>
      </c>
      <c r="O14" s="2" t="e">
        <f t="shared" si="16"/>
        <v>#VALUE!</v>
      </c>
      <c r="P14" s="2">
        <f t="shared" si="17"/>
        <v>0.67164179104477695</v>
      </c>
      <c r="Q14" s="2">
        <f t="shared" si="18"/>
        <v>0.61619039387267327</v>
      </c>
      <c r="R14" s="2">
        <f t="shared" si="3"/>
        <v>4.2303325760794847E-2</v>
      </c>
      <c r="S14" s="2">
        <f t="shared" si="4"/>
        <v>14.566003565699218</v>
      </c>
      <c r="T14" s="5">
        <f t="shared" si="5"/>
        <v>8.1792901189586584E-2</v>
      </c>
      <c r="U14" s="5">
        <f t="shared" si="6"/>
        <v>1483.2719999999999</v>
      </c>
      <c r="V14" s="2">
        <f t="shared" si="7"/>
        <v>1222.5999878426057</v>
      </c>
      <c r="W14" s="2">
        <f t="shared" si="8"/>
        <v>1139.0718045028807</v>
      </c>
      <c r="X14" s="2">
        <f t="shared" si="9"/>
        <v>1.2132112013328045</v>
      </c>
      <c r="Y14" s="12">
        <f t="shared" si="10"/>
        <v>0.175741207382998</v>
      </c>
      <c r="Z14" s="2">
        <f t="shared" si="11"/>
        <v>0.76794532931443504</v>
      </c>
      <c r="AA14" s="2">
        <f t="shared" si="12"/>
        <v>0.93167987553548193</v>
      </c>
      <c r="AB14" s="2">
        <f t="shared" si="13"/>
        <v>1.0313525154883991</v>
      </c>
      <c r="AC14" s="2">
        <f t="shared" si="14"/>
        <v>1.7622812258151779</v>
      </c>
      <c r="AD14" s="2">
        <f t="shared" si="19"/>
        <v>0.94012528999725731</v>
      </c>
      <c r="AE14" s="2">
        <f t="shared" si="20"/>
        <v>0.32199532840382961</v>
      </c>
    </row>
    <row r="15" spans="1:31" x14ac:dyDescent="0.3">
      <c r="A15" s="16" t="s">
        <v>55</v>
      </c>
      <c r="B15" s="2" t="s">
        <v>56</v>
      </c>
      <c r="C15" s="1">
        <v>0.18407529452305499</v>
      </c>
      <c r="D15" s="1">
        <v>0.28955223880596997</v>
      </c>
      <c r="F15" s="2">
        <v>9.81</v>
      </c>
      <c r="G15" s="2">
        <v>3000</v>
      </c>
      <c r="H15" s="18">
        <f t="shared" si="1"/>
        <v>5.04E-2</v>
      </c>
      <c r="I15" s="2">
        <f t="shared" si="2"/>
        <v>2.6199999999999998E-2</v>
      </c>
      <c r="J15" s="2">
        <v>100</v>
      </c>
      <c r="K15" s="8">
        <v>1</v>
      </c>
      <c r="L15" s="2">
        <f t="shared" si="15"/>
        <v>273.03373025780081</v>
      </c>
      <c r="M15" s="4">
        <f t="shared" si="0"/>
        <v>0.96183206106870234</v>
      </c>
      <c r="N15" s="2" t="s">
        <v>29</v>
      </c>
      <c r="O15" s="2" t="e">
        <f t="shared" si="16"/>
        <v>#VALUE!</v>
      </c>
      <c r="P15" s="2">
        <f t="shared" si="17"/>
        <v>0.71044776119403008</v>
      </c>
      <c r="Q15" s="2">
        <f t="shared" si="18"/>
        <v>0.60996008795006829</v>
      </c>
      <c r="R15" s="2">
        <f t="shared" si="3"/>
        <v>4.5699453727926186E-2</v>
      </c>
      <c r="S15" s="2">
        <f t="shared" si="4"/>
        <v>13.347207421372998</v>
      </c>
      <c r="T15" s="5">
        <f t="shared" si="5"/>
        <v>8.2628357159207716E-2</v>
      </c>
      <c r="U15" s="5">
        <f t="shared" si="6"/>
        <v>1483.2719999999999</v>
      </c>
      <c r="V15" s="2">
        <f t="shared" si="7"/>
        <v>1210.238269742199</v>
      </c>
      <c r="W15" s="2">
        <f t="shared" si="8"/>
        <v>1116.1539266761652</v>
      </c>
      <c r="X15" s="2">
        <f t="shared" si="9"/>
        <v>1.2256032858025236</v>
      </c>
      <c r="Y15" s="12">
        <f t="shared" si="10"/>
        <v>0.18407529452305499</v>
      </c>
      <c r="Z15" s="2">
        <f t="shared" si="11"/>
        <v>0.75249443573138652</v>
      </c>
      <c r="AA15" s="2">
        <f t="shared" si="12"/>
        <v>0.92225965298050328</v>
      </c>
      <c r="AB15" s="2">
        <f t="shared" si="13"/>
        <v>1.0334508652764294</v>
      </c>
      <c r="AC15" s="2">
        <f t="shared" si="14"/>
        <v>1.7352734224177979</v>
      </c>
      <c r="AD15" s="2">
        <f t="shared" si="19"/>
        <v>0.93631144834778901</v>
      </c>
      <c r="AE15" s="2">
        <f t="shared" si="20"/>
        <v>0.3320964014806011</v>
      </c>
    </row>
    <row r="16" spans="1:31" x14ac:dyDescent="0.3">
      <c r="A16" s="16" t="s">
        <v>55</v>
      </c>
      <c r="B16" s="2" t="s">
        <v>56</v>
      </c>
      <c r="C16" s="1">
        <v>0.21630634705261501</v>
      </c>
      <c r="D16" s="1">
        <v>0.24925373134328299</v>
      </c>
      <c r="F16" s="2">
        <v>9.81</v>
      </c>
      <c r="G16" s="2">
        <v>3000</v>
      </c>
      <c r="H16" s="18">
        <f t="shared" si="1"/>
        <v>5.04E-2</v>
      </c>
      <c r="I16" s="2">
        <f t="shared" si="2"/>
        <v>2.6199999999999998E-2</v>
      </c>
      <c r="J16" s="2">
        <v>100</v>
      </c>
      <c r="K16" s="8">
        <v>1</v>
      </c>
      <c r="L16" s="2">
        <f t="shared" si="15"/>
        <v>320.84114800542636</v>
      </c>
      <c r="M16" s="4">
        <f t="shared" si="0"/>
        <v>0.96183206106870234</v>
      </c>
      <c r="N16" s="2" t="s">
        <v>29</v>
      </c>
      <c r="O16" s="2" t="e">
        <f t="shared" si="16"/>
        <v>#VALUE!</v>
      </c>
      <c r="P16" s="2">
        <f t="shared" si="17"/>
        <v>0.75074626865671701</v>
      </c>
      <c r="Q16" s="2">
        <f t="shared" si="18"/>
        <v>0.58586514940526502</v>
      </c>
      <c r="R16" s="2">
        <f t="shared" si="3"/>
        <v>5.9799920572404928E-2</v>
      </c>
      <c r="S16" s="2">
        <f t="shared" si="4"/>
        <v>9.7970890897071925</v>
      </c>
      <c r="T16" s="5">
        <f t="shared" si="5"/>
        <v>8.6026622425250998E-2</v>
      </c>
      <c r="U16" s="5">
        <f t="shared" si="6"/>
        <v>1483.2719999999999</v>
      </c>
      <c r="V16" s="2">
        <f t="shared" si="7"/>
        <v>1162.4308519945735</v>
      </c>
      <c r="W16" s="2">
        <f t="shared" si="8"/>
        <v>1029.7139198629607</v>
      </c>
      <c r="X16" s="2">
        <f t="shared" si="9"/>
        <v>1.2760088029794689</v>
      </c>
      <c r="Y16" s="12">
        <f t="shared" si="10"/>
        <v>0.21630634705261501</v>
      </c>
      <c r="Z16" s="2">
        <f t="shared" si="11"/>
        <v>0.69421786419683018</v>
      </c>
      <c r="AA16" s="2">
        <f t="shared" si="12"/>
        <v>0.88582810590076089</v>
      </c>
      <c r="AB16" s="2">
        <f t="shared" si="13"/>
        <v>1.0418149469974904</v>
      </c>
      <c r="AC16" s="2">
        <f t="shared" si="14"/>
        <v>1.6444095695213219</v>
      </c>
      <c r="AD16" s="2">
        <f t="shared" si="19"/>
        <v>0.92133767811971756</v>
      </c>
      <c r="AE16" s="2">
        <f t="shared" si="20"/>
        <v>0.36981115668602504</v>
      </c>
    </row>
    <row r="17" spans="1:31" x14ac:dyDescent="0.3">
      <c r="A17" s="16" t="s">
        <v>55</v>
      </c>
      <c r="B17" s="2" t="s">
        <v>56</v>
      </c>
      <c r="C17" s="1">
        <v>0.21910103163834499</v>
      </c>
      <c r="D17" s="1">
        <v>0.20746268656716399</v>
      </c>
      <c r="F17" s="2">
        <v>9.81</v>
      </c>
      <c r="G17" s="2">
        <v>3000</v>
      </c>
      <c r="H17" s="18">
        <f t="shared" si="1"/>
        <v>5.04E-2</v>
      </c>
      <c r="I17" s="2">
        <f t="shared" si="2"/>
        <v>2.6199999999999998E-2</v>
      </c>
      <c r="J17" s="2">
        <v>100</v>
      </c>
      <c r="K17" s="8">
        <v>1</v>
      </c>
      <c r="L17" s="2">
        <f t="shared" si="15"/>
        <v>324.98642540027123</v>
      </c>
      <c r="M17" s="4">
        <f t="shared" si="0"/>
        <v>0.96183206106870234</v>
      </c>
      <c r="N17" s="2" t="s">
        <v>29</v>
      </c>
      <c r="O17" s="2" t="e">
        <f t="shared" si="16"/>
        <v>#VALUE!</v>
      </c>
      <c r="P17" s="2">
        <f t="shared" si="17"/>
        <v>0.79253731343283595</v>
      </c>
      <c r="Q17" s="2">
        <f t="shared" si="18"/>
        <v>0.5837759295982633</v>
      </c>
      <c r="R17" s="2">
        <f t="shared" si="3"/>
        <v>6.1093152985704238E-2</v>
      </c>
      <c r="S17" s="2">
        <f t="shared" si="4"/>
        <v>9.555505012728128</v>
      </c>
      <c r="T17" s="5">
        <f t="shared" si="5"/>
        <v>8.6334494871489018E-2</v>
      </c>
      <c r="U17" s="5">
        <f t="shared" si="6"/>
        <v>1483.2719999999999</v>
      </c>
      <c r="V17" s="2">
        <f t="shared" si="7"/>
        <v>1158.2855745997288</v>
      </c>
      <c r="W17" s="2">
        <f t="shared" si="8"/>
        <v>1022.3830079349494</v>
      </c>
      <c r="X17" s="2">
        <f t="shared" si="9"/>
        <v>1.2805753887702327</v>
      </c>
      <c r="Y17" s="12">
        <f t="shared" si="10"/>
        <v>0.21910103163834499</v>
      </c>
      <c r="Z17" s="2">
        <f t="shared" si="11"/>
        <v>0.68927547202060679</v>
      </c>
      <c r="AA17" s="2">
        <f t="shared" si="12"/>
        <v>0.88266920555257411</v>
      </c>
      <c r="AB17" s="2">
        <f t="shared" si="13"/>
        <v>1.0425595721743726</v>
      </c>
      <c r="AC17" s="2">
        <f t="shared" si="14"/>
        <v>1.6373880217719032</v>
      </c>
      <c r="AD17" s="2">
        <f t="shared" si="19"/>
        <v>0.9200220578878141</v>
      </c>
      <c r="AE17" s="2">
        <f t="shared" si="20"/>
        <v>0.37298965098322667</v>
      </c>
    </row>
    <row r="18" spans="1:31" x14ac:dyDescent="0.3">
      <c r="A18" s="16" t="s">
        <v>55</v>
      </c>
      <c r="B18" s="2" t="s">
        <v>56</v>
      </c>
      <c r="C18" s="1">
        <v>0.22324395339320699</v>
      </c>
      <c r="D18" s="1">
        <v>0.22985074626865601</v>
      </c>
      <c r="F18" s="2">
        <v>9.81</v>
      </c>
      <c r="G18" s="2">
        <v>3000</v>
      </c>
      <c r="H18" s="18">
        <f t="shared" si="1"/>
        <v>5.04E-2</v>
      </c>
      <c r="I18" s="2">
        <f t="shared" si="2"/>
        <v>2.6199999999999998E-2</v>
      </c>
      <c r="J18" s="2">
        <v>100</v>
      </c>
      <c r="K18" s="8">
        <v>1</v>
      </c>
      <c r="L18" s="2">
        <f t="shared" si="15"/>
        <v>331.13150523744889</v>
      </c>
      <c r="M18" s="4">
        <f t="shared" si="0"/>
        <v>0.96183206106870234</v>
      </c>
      <c r="N18" s="2" t="s">
        <v>29</v>
      </c>
      <c r="O18" s="2" t="e">
        <f t="shared" si="16"/>
        <v>#VALUE!</v>
      </c>
      <c r="P18" s="2">
        <f t="shared" si="17"/>
        <v>0.77014925373134402</v>
      </c>
      <c r="Q18" s="2">
        <f t="shared" si="18"/>
        <v>0.58067880936032568</v>
      </c>
      <c r="R18" s="2">
        <f t="shared" si="3"/>
        <v>6.3030585779882922E-2</v>
      </c>
      <c r="S18" s="2">
        <f t="shared" si="4"/>
        <v>9.2126513211885346</v>
      </c>
      <c r="T18" s="5">
        <f t="shared" si="5"/>
        <v>8.6794970278871564E-2</v>
      </c>
      <c r="U18" s="5">
        <f t="shared" si="6"/>
        <v>1483.2719999999999</v>
      </c>
      <c r="V18" s="2">
        <f t="shared" si="7"/>
        <v>1152.1404947625508</v>
      </c>
      <c r="W18" s="2">
        <f t="shared" si="8"/>
        <v>1011.5636389203763</v>
      </c>
      <c r="X18" s="2">
        <f t="shared" si="9"/>
        <v>1.2874054915548241</v>
      </c>
      <c r="Y18" s="12">
        <f t="shared" si="10"/>
        <v>0.22324395339320699</v>
      </c>
      <c r="Z18" s="2">
        <f t="shared" si="11"/>
        <v>0.68198121377628407</v>
      </c>
      <c r="AA18" s="2">
        <f t="shared" si="12"/>
        <v>0.87798635975281247</v>
      </c>
      <c r="AB18" s="2">
        <f t="shared" si="13"/>
        <v>1.0436693304441744</v>
      </c>
      <c r="AC18" s="2">
        <f t="shared" si="14"/>
        <v>1.6271959259687787</v>
      </c>
      <c r="AD18" s="2">
        <f t="shared" si="19"/>
        <v>0.91806653571321906</v>
      </c>
      <c r="AE18" s="2">
        <f t="shared" si="20"/>
        <v>0.37767679635774071</v>
      </c>
    </row>
    <row r="19" spans="1:31" x14ac:dyDescent="0.3">
      <c r="A19" s="16" t="s">
        <v>55</v>
      </c>
      <c r="B19" s="2" t="s">
        <v>56</v>
      </c>
      <c r="C19" s="1">
        <v>0.24673773987206801</v>
      </c>
      <c r="D19" s="1">
        <v>0.32686567164179098</v>
      </c>
      <c r="F19" s="2">
        <v>9.81</v>
      </c>
      <c r="G19" s="2">
        <v>3000</v>
      </c>
      <c r="H19" s="18">
        <f t="shared" si="1"/>
        <v>5.04E-2</v>
      </c>
      <c r="I19" s="2">
        <f t="shared" si="2"/>
        <v>2.6199999999999998E-2</v>
      </c>
      <c r="J19" s="2">
        <v>100</v>
      </c>
      <c r="K19" s="8">
        <v>1</v>
      </c>
      <c r="L19" s="2">
        <f t="shared" si="15"/>
        <v>365.97918089552206</v>
      </c>
      <c r="M19" s="4">
        <f t="shared" si="0"/>
        <v>0.96183206106870234</v>
      </c>
      <c r="N19" s="2" t="s">
        <v>29</v>
      </c>
      <c r="O19" s="2" t="e">
        <f t="shared" si="16"/>
        <v>#VALUE!</v>
      </c>
      <c r="P19" s="2">
        <f t="shared" si="17"/>
        <v>0.67313432835820897</v>
      </c>
      <c r="Q19" s="2">
        <f t="shared" si="18"/>
        <v>0.56311558082865687</v>
      </c>
      <c r="R19" s="2">
        <f t="shared" si="3"/>
        <v>7.4469391604324725E-2</v>
      </c>
      <c r="S19" s="2">
        <f t="shared" si="4"/>
        <v>7.5617051341125041</v>
      </c>
      <c r="T19" s="5">
        <f t="shared" si="5"/>
        <v>8.9502052004729674E-2</v>
      </c>
      <c r="U19" s="5">
        <f t="shared" si="6"/>
        <v>1483.2719999999999</v>
      </c>
      <c r="V19" s="2">
        <f t="shared" si="7"/>
        <v>1117.292819104478</v>
      </c>
      <c r="W19" s="2">
        <f t="shared" si="8"/>
        <v>951.29747211598681</v>
      </c>
      <c r="X19" s="2">
        <f t="shared" si="9"/>
        <v>1.3275588768115938</v>
      </c>
      <c r="Y19" s="12">
        <f t="shared" si="10"/>
        <v>0.24673773987206801</v>
      </c>
      <c r="Z19" s="2">
        <f t="shared" si="11"/>
        <v>0.64135065727390983</v>
      </c>
      <c r="AA19" s="2">
        <f t="shared" si="12"/>
        <v>0.85143075821292913</v>
      </c>
      <c r="AB19" s="2">
        <f t="shared" si="13"/>
        <v>1.0500998781671691</v>
      </c>
      <c r="AC19" s="2">
        <f t="shared" si="14"/>
        <v>1.5738181726331539</v>
      </c>
      <c r="AD19" s="2">
        <f t="shared" si="19"/>
        <v>0.90685694604375289</v>
      </c>
      <c r="AE19" s="2">
        <f t="shared" si="20"/>
        <v>0.40372987614243744</v>
      </c>
    </row>
    <row r="20" spans="1:31" x14ac:dyDescent="0.3">
      <c r="A20" s="16" t="s">
        <v>55</v>
      </c>
      <c r="B20" s="2" t="s">
        <v>56</v>
      </c>
      <c r="C20" s="1">
        <v>0.253350563201309</v>
      </c>
      <c r="D20" s="1">
        <v>0.27014925373134302</v>
      </c>
      <c r="F20" s="2">
        <v>9.81</v>
      </c>
      <c r="G20" s="2">
        <v>3000</v>
      </c>
      <c r="H20" s="18">
        <f t="shared" si="1"/>
        <v>5.04E-2</v>
      </c>
      <c r="I20" s="2">
        <f t="shared" si="2"/>
        <v>2.6199999999999998E-2</v>
      </c>
      <c r="J20" s="2">
        <v>100</v>
      </c>
      <c r="K20" s="8">
        <v>1</v>
      </c>
      <c r="L20" s="2">
        <f t="shared" si="15"/>
        <v>375.78779658073199</v>
      </c>
      <c r="M20" s="4">
        <f t="shared" si="0"/>
        <v>0.96183206106870234</v>
      </c>
      <c r="N20" s="2" t="s">
        <v>29</v>
      </c>
      <c r="O20" s="2" t="e">
        <f t="shared" si="16"/>
        <v>#VALUE!</v>
      </c>
      <c r="P20" s="2">
        <f t="shared" si="17"/>
        <v>0.72985074626865698</v>
      </c>
      <c r="Q20" s="2">
        <f t="shared" si="18"/>
        <v>0.5581720385233111</v>
      </c>
      <c r="R20" s="2">
        <f t="shared" si="3"/>
        <v>7.7825447301063166E-2</v>
      </c>
      <c r="S20" s="2">
        <f t="shared" si="4"/>
        <v>7.1721019008609792</v>
      </c>
      <c r="T20" s="5">
        <f t="shared" si="5"/>
        <v>9.0294741623634975E-2</v>
      </c>
      <c r="U20" s="5">
        <f t="shared" si="6"/>
        <v>1483.2719999999999</v>
      </c>
      <c r="V20" s="2">
        <f t="shared" si="7"/>
        <v>1107.4842034192682</v>
      </c>
      <c r="W20" s="2">
        <f t="shared" si="8"/>
        <v>934.66807376780616</v>
      </c>
      <c r="X20" s="2">
        <f t="shared" si="9"/>
        <v>1.3393166199757227</v>
      </c>
      <c r="Y20" s="12">
        <f t="shared" si="10"/>
        <v>0.253350563201309</v>
      </c>
      <c r="Z20" s="2">
        <f t="shared" si="11"/>
        <v>0.6301393633587139</v>
      </c>
      <c r="AA20" s="2">
        <f t="shared" si="12"/>
        <v>0.84395612224724637</v>
      </c>
      <c r="AB20" s="2">
        <f t="shared" si="13"/>
        <v>1.0519533997373336</v>
      </c>
      <c r="AC20" s="2">
        <f t="shared" si="14"/>
        <v>1.5600042868920614</v>
      </c>
      <c r="AD20" s="2">
        <f t="shared" si="19"/>
        <v>0.90366403260694272</v>
      </c>
      <c r="AE20" s="2">
        <f t="shared" si="20"/>
        <v>0.41091161407264587</v>
      </c>
    </row>
    <row r="21" spans="1:31" x14ac:dyDescent="0.3">
      <c r="A21" s="16" t="s">
        <v>55</v>
      </c>
      <c r="B21" s="2" t="s">
        <v>56</v>
      </c>
      <c r="C21" s="1">
        <v>0.25096164200641802</v>
      </c>
      <c r="D21" s="1">
        <v>0.20895522388059601</v>
      </c>
      <c r="F21" s="2">
        <v>9.81</v>
      </c>
      <c r="G21" s="2">
        <v>3000</v>
      </c>
      <c r="H21" s="18">
        <f t="shared" si="1"/>
        <v>5.04E-2</v>
      </c>
      <c r="I21" s="2">
        <f t="shared" si="2"/>
        <v>2.6199999999999998E-2</v>
      </c>
      <c r="J21" s="2">
        <v>100</v>
      </c>
      <c r="K21" s="8">
        <v>1</v>
      </c>
      <c r="L21" s="2">
        <f t="shared" si="15"/>
        <v>372.24437666214362</v>
      </c>
      <c r="M21" s="4">
        <f t="shared" si="0"/>
        <v>0.96183206106870234</v>
      </c>
      <c r="N21" s="2" t="s">
        <v>29</v>
      </c>
      <c r="O21" s="2" t="e">
        <f t="shared" si="16"/>
        <v>#VALUE!</v>
      </c>
      <c r="P21" s="2">
        <f t="shared" si="17"/>
        <v>0.79104477611940394</v>
      </c>
      <c r="Q21" s="2">
        <f t="shared" si="18"/>
        <v>0.55995792216227958</v>
      </c>
      <c r="R21" s="2">
        <f t="shared" si="3"/>
        <v>7.660622835394211E-2</v>
      </c>
      <c r="S21" s="2">
        <f t="shared" si="4"/>
        <v>7.3095613006179869</v>
      </c>
      <c r="T21" s="5">
        <f t="shared" si="5"/>
        <v>9.0006763017800015E-2</v>
      </c>
      <c r="U21" s="5">
        <f t="shared" si="6"/>
        <v>1483.2719999999999</v>
      </c>
      <c r="V21" s="2">
        <f t="shared" si="7"/>
        <v>1111.0276233378563</v>
      </c>
      <c r="W21" s="2">
        <f t="shared" si="8"/>
        <v>940.65862377689268</v>
      </c>
      <c r="X21" s="2">
        <f t="shared" si="9"/>
        <v>1.3350451139493824</v>
      </c>
      <c r="Y21" s="12">
        <f t="shared" si="10"/>
        <v>0.25096164200641802</v>
      </c>
      <c r="Z21" s="2">
        <f t="shared" si="11"/>
        <v>0.634178103393641</v>
      </c>
      <c r="AA21" s="2">
        <f t="shared" si="12"/>
        <v>0.84665637830936669</v>
      </c>
      <c r="AB21" s="2">
        <f t="shared" si="13"/>
        <v>1.0512815393874548</v>
      </c>
      <c r="AC21" s="2">
        <f t="shared" si="14"/>
        <v>1.5649385926884003</v>
      </c>
      <c r="AD21" s="2">
        <f t="shared" si="19"/>
        <v>0.90481944153734695</v>
      </c>
      <c r="AE21" s="2">
        <f t="shared" si="20"/>
        <v>0.40832446198967065</v>
      </c>
    </row>
    <row r="22" spans="1:31" x14ac:dyDescent="0.3">
      <c r="A22" s="16" t="s">
        <v>55</v>
      </c>
      <c r="B22" s="2" t="s">
        <v>56</v>
      </c>
      <c r="C22" s="1">
        <v>0.26274945618229201</v>
      </c>
      <c r="D22" s="1">
        <v>0.18656716417910399</v>
      </c>
      <c r="F22" s="2">
        <v>9.81</v>
      </c>
      <c r="G22" s="2">
        <v>3000</v>
      </c>
      <c r="H22" s="18">
        <f t="shared" ref="H22:H27" si="21">50.4/1000</f>
        <v>5.04E-2</v>
      </c>
      <c r="I22" s="2">
        <f t="shared" ref="I22:I27" si="22">26.2/1000</f>
        <v>2.6199999999999998E-2</v>
      </c>
      <c r="J22" s="2">
        <v>100</v>
      </c>
      <c r="K22" s="8">
        <v>1</v>
      </c>
      <c r="L22" s="2">
        <f t="shared" ref="L22:L27" si="23">C22*U22</f>
        <v>389.72891137042063</v>
      </c>
      <c r="M22" s="4">
        <f t="shared" si="0"/>
        <v>0.96183206106870234</v>
      </c>
      <c r="N22" s="2" t="s">
        <v>29</v>
      </c>
      <c r="O22" s="2" t="e">
        <f t="shared" ref="O22:O27" si="24">N22-1</f>
        <v>#VALUE!</v>
      </c>
      <c r="P22" s="2">
        <f t="shared" ref="P22:P27" si="25">1-D22</f>
        <v>0.81343283582089598</v>
      </c>
      <c r="Q22" s="2">
        <f t="shared" ref="Q22:Q27" si="26">(((U22-L22)*(H22^K22))/(J22))^(1/K22)</f>
        <v>0.55114571666930801</v>
      </c>
      <c r="R22" s="2">
        <f t="shared" ref="R22:R27" si="27">(((L22^(((2*K22)+3)/3))*(H22^K22)*(1/J22))/((U22*M22)^(2*K22/3)))^(1/K22)</f>
        <v>8.2696706150327204E-2</v>
      </c>
      <c r="S22" s="2">
        <f t="shared" si="4"/>
        <v>6.6646634712080042</v>
      </c>
      <c r="T22" s="5">
        <f t="shared" si="5"/>
        <v>9.1445870802694493E-2</v>
      </c>
      <c r="U22" s="5">
        <f t="shared" si="6"/>
        <v>1483.2719999999999</v>
      </c>
      <c r="V22" s="2">
        <f t="shared" ref="V22:V27" si="28">J22*((Q22/H22)^(K22))</f>
        <v>1093.5430886295794</v>
      </c>
      <c r="W22" s="2">
        <f t="shared" si="8"/>
        <v>911.28480300877538</v>
      </c>
      <c r="X22" s="2">
        <f t="shared" si="9"/>
        <v>1.3563909967725425</v>
      </c>
      <c r="Y22" s="12">
        <f t="shared" si="10"/>
        <v>0.26274945618229201</v>
      </c>
      <c r="Z22" s="2">
        <f t="shared" si="11"/>
        <v>0.61437470875791855</v>
      </c>
      <c r="AA22" s="2">
        <f t="shared" si="12"/>
        <v>0.83333232360399367</v>
      </c>
      <c r="AB22" s="2">
        <f t="shared" ref="AB22:AB27" si="29">(X22*M22)^((1)/((2*K22)+3))</f>
        <v>1.0546220069551044</v>
      </c>
      <c r="AC22" s="2">
        <f t="shared" si="14"/>
        <v>1.5411768417859699</v>
      </c>
      <c r="AD22" s="2">
        <f t="shared" ref="AD22:AD27" si="30">((1/X22)*(1/M22))^((2)/((2*K22)+3))</f>
        <v>0.89909656996563536</v>
      </c>
      <c r="AE22" s="2">
        <f t="shared" ref="AE22:AE27" si="31">((Y22)*(1/M22))^(2/3)</f>
        <v>0.42101255868937121</v>
      </c>
    </row>
    <row r="23" spans="1:31" x14ac:dyDescent="0.3">
      <c r="A23" s="16" t="s">
        <v>55</v>
      </c>
      <c r="B23" s="2" t="s">
        <v>56</v>
      </c>
      <c r="C23" s="1">
        <v>0.27728198832676398</v>
      </c>
      <c r="D23" s="1">
        <v>0.20895522388059601</v>
      </c>
      <c r="F23" s="2">
        <v>9.81</v>
      </c>
      <c r="G23" s="2">
        <v>3000</v>
      </c>
      <c r="H23" s="18">
        <f t="shared" si="21"/>
        <v>5.04E-2</v>
      </c>
      <c r="I23" s="2">
        <f t="shared" si="22"/>
        <v>2.6199999999999998E-2</v>
      </c>
      <c r="J23" s="2">
        <v>100</v>
      </c>
      <c r="K23" s="8">
        <v>1</v>
      </c>
      <c r="L23" s="2">
        <f t="shared" si="23"/>
        <v>411.28460938941583</v>
      </c>
      <c r="M23" s="4">
        <f t="shared" si="0"/>
        <v>0.96183206106870234</v>
      </c>
      <c r="N23" s="2" t="s">
        <v>29</v>
      </c>
      <c r="O23" s="2" t="e">
        <f t="shared" si="24"/>
        <v>#VALUE!</v>
      </c>
      <c r="P23" s="2">
        <f t="shared" si="25"/>
        <v>0.79104477611940394</v>
      </c>
      <c r="Q23" s="2">
        <f t="shared" si="26"/>
        <v>0.54028164486773433</v>
      </c>
      <c r="R23" s="2">
        <f t="shared" si="27"/>
        <v>9.0459587157051172E-2</v>
      </c>
      <c r="S23" s="2">
        <f t="shared" si="4"/>
        <v>5.9726300091302189</v>
      </c>
      <c r="T23" s="5">
        <f t="shared" si="5"/>
        <v>9.3284679349672078E-2</v>
      </c>
      <c r="U23" s="5">
        <f t="shared" si="6"/>
        <v>1483.2719999999999</v>
      </c>
      <c r="V23" s="2">
        <f t="shared" si="28"/>
        <v>1071.9873906105838</v>
      </c>
      <c r="W23" s="2">
        <f t="shared" si="8"/>
        <v>875.71276734295384</v>
      </c>
      <c r="X23" s="2">
        <f t="shared" si="9"/>
        <v>1.3836655290834683</v>
      </c>
      <c r="Y23" s="12">
        <f t="shared" si="10"/>
        <v>0.27728198832676398</v>
      </c>
      <c r="Z23" s="2">
        <f t="shared" si="11"/>
        <v>0.59039256949699981</v>
      </c>
      <c r="AA23" s="2">
        <f t="shared" si="12"/>
        <v>0.81690584704001445</v>
      </c>
      <c r="AB23" s="2">
        <f t="shared" si="29"/>
        <v>1.0588296013166243</v>
      </c>
      <c r="AC23" s="2">
        <f t="shared" si="14"/>
        <v>1.5137675688403243</v>
      </c>
      <c r="AD23" s="2">
        <f t="shared" si="30"/>
        <v>0.89196507852813001</v>
      </c>
      <c r="AE23" s="2">
        <f t="shared" si="31"/>
        <v>0.43639684966026021</v>
      </c>
    </row>
    <row r="24" spans="1:31" x14ac:dyDescent="0.3">
      <c r="A24" s="16" t="s">
        <v>55</v>
      </c>
      <c r="B24" s="2" t="s">
        <v>56</v>
      </c>
      <c r="C24" s="1">
        <v>0.28004307466994</v>
      </c>
      <c r="D24" s="1">
        <v>0.22537313432835801</v>
      </c>
      <c r="F24" s="2">
        <v>9.81</v>
      </c>
      <c r="G24" s="2">
        <v>3000</v>
      </c>
      <c r="H24" s="18">
        <f t="shared" si="21"/>
        <v>5.04E-2</v>
      </c>
      <c r="I24" s="2">
        <f t="shared" si="22"/>
        <v>2.6199999999999998E-2</v>
      </c>
      <c r="J24" s="2">
        <v>100</v>
      </c>
      <c r="K24" s="8">
        <v>1</v>
      </c>
      <c r="L24" s="2">
        <f t="shared" si="23"/>
        <v>415.38005145183121</v>
      </c>
      <c r="M24" s="4">
        <f t="shared" si="0"/>
        <v>0.96183206106870234</v>
      </c>
      <c r="N24" s="2" t="s">
        <v>29</v>
      </c>
      <c r="O24" s="2" t="e">
        <f t="shared" si="24"/>
        <v>#VALUE!</v>
      </c>
      <c r="P24" s="2">
        <f t="shared" si="25"/>
        <v>0.77462686567164196</v>
      </c>
      <c r="Q24" s="2">
        <f t="shared" si="26"/>
        <v>0.5382175420682771</v>
      </c>
      <c r="R24" s="2">
        <f t="shared" si="27"/>
        <v>9.1965844683941811E-2</v>
      </c>
      <c r="S24" s="2">
        <f>Q24/R24</f>
        <v>5.8523633846670409</v>
      </c>
      <c r="T24" s="5">
        <f>(J24+(L24*H24/Q24))/U24</f>
        <v>9.3642432772297821E-2</v>
      </c>
      <c r="U24" s="5">
        <f>F24*G24*H24</f>
        <v>1483.2719999999999</v>
      </c>
      <c r="V24" s="2">
        <f t="shared" si="28"/>
        <v>1067.891948548169</v>
      </c>
      <c r="W24" s="2">
        <f>G24*Q24*Q24</f>
        <v>869.03436777005288</v>
      </c>
      <c r="X24" s="2">
        <f>U24/V24</f>
        <v>1.3889719854303166</v>
      </c>
      <c r="Y24" s="12">
        <f>L24/U24</f>
        <v>0.28004307466994</v>
      </c>
      <c r="Z24" s="2">
        <f>W24/U24</f>
        <v>0.58589009148022275</v>
      </c>
      <c r="AA24" s="2">
        <f>W24/V24</f>
        <v>0.81378492360723487</v>
      </c>
      <c r="AB24" s="2">
        <f t="shared" si="29"/>
        <v>1.0596404957959862</v>
      </c>
      <c r="AC24" s="2">
        <f>((1/Y24)*M24)^(1/3)</f>
        <v>1.5087761282554915</v>
      </c>
      <c r="AD24" s="2">
        <f t="shared" si="30"/>
        <v>0.89060044059555399</v>
      </c>
      <c r="AE24" s="2">
        <f t="shared" si="31"/>
        <v>0.43928906411770707</v>
      </c>
    </row>
    <row r="25" spans="1:31" x14ac:dyDescent="0.3">
      <c r="A25" s="16" t="s">
        <v>55</v>
      </c>
      <c r="B25" s="2" t="s">
        <v>56</v>
      </c>
      <c r="C25" s="1">
        <v>0.27622752040662402</v>
      </c>
      <c r="D25" s="1">
        <v>0.235820895522387</v>
      </c>
      <c r="F25" s="2">
        <v>9.81</v>
      </c>
      <c r="G25" s="2">
        <v>3000</v>
      </c>
      <c r="H25" s="18">
        <f t="shared" si="21"/>
        <v>5.04E-2</v>
      </c>
      <c r="I25" s="2">
        <f t="shared" si="22"/>
        <v>2.6199999999999998E-2</v>
      </c>
      <c r="J25" s="2">
        <v>100</v>
      </c>
      <c r="K25" s="8">
        <v>1</v>
      </c>
      <c r="L25" s="2">
        <f t="shared" si="23"/>
        <v>409.72054664857399</v>
      </c>
      <c r="M25" s="4">
        <f t="shared" si="0"/>
        <v>0.96183206106870234</v>
      </c>
      <c r="N25" s="2" t="s">
        <v>29</v>
      </c>
      <c r="O25" s="2" t="e">
        <f t="shared" si="24"/>
        <v>#VALUE!</v>
      </c>
      <c r="P25" s="2">
        <f t="shared" si="25"/>
        <v>0.76417910447761295</v>
      </c>
      <c r="Q25" s="2">
        <f t="shared" si="26"/>
        <v>0.54106993248911872</v>
      </c>
      <c r="R25" s="2">
        <f t="shared" si="27"/>
        <v>8.9886970524479581E-2</v>
      </c>
      <c r="S25" s="2">
        <f>Q25/R25</f>
        <v>6.0194478613756948</v>
      </c>
      <c r="T25" s="5">
        <f>(J25+(L25*H25/Q25))/U25</f>
        <v>9.3148772411251246E-2</v>
      </c>
      <c r="U25" s="5">
        <f>F25*G25*H25</f>
        <v>1483.2719999999999</v>
      </c>
      <c r="V25" s="2">
        <f t="shared" si="28"/>
        <v>1073.5514533514261</v>
      </c>
      <c r="W25" s="2">
        <f>G25*Q25*Q25</f>
        <v>878.27001553133846</v>
      </c>
      <c r="X25" s="2">
        <f>U25/V25</f>
        <v>1.3816496595198147</v>
      </c>
      <c r="Y25" s="12">
        <f>L25/U25</f>
        <v>0.27622752040662402</v>
      </c>
      <c r="Z25" s="2">
        <f>W25/U25</f>
        <v>0.5921166283266579</v>
      </c>
      <c r="AA25" s="2">
        <f>W25/V25</f>
        <v>0.81809773792354745</v>
      </c>
      <c r="AB25" s="2">
        <f t="shared" si="29"/>
        <v>1.058520898484371</v>
      </c>
      <c r="AC25" s="2">
        <f>((1/Y25)*M25)^(1/3)</f>
        <v>1.5156913362526401</v>
      </c>
      <c r="AD25" s="2">
        <f t="shared" si="30"/>
        <v>0.89248541269953918</v>
      </c>
      <c r="AE25" s="2">
        <f t="shared" si="31"/>
        <v>0.43528977298768162</v>
      </c>
    </row>
    <row r="26" spans="1:31" x14ac:dyDescent="0.3">
      <c r="A26" s="16" t="s">
        <v>55</v>
      </c>
      <c r="B26" s="2" t="s">
        <v>56</v>
      </c>
      <c r="C26" s="1">
        <v>0.28833064116646201</v>
      </c>
      <c r="D26" s="1">
        <v>0.26716417910447698</v>
      </c>
      <c r="F26" s="2">
        <v>9.81</v>
      </c>
      <c r="G26" s="2">
        <v>3000</v>
      </c>
      <c r="H26" s="18">
        <f t="shared" si="21"/>
        <v>5.04E-2</v>
      </c>
      <c r="I26" s="2">
        <f t="shared" si="22"/>
        <v>2.6199999999999998E-2</v>
      </c>
      <c r="J26" s="2">
        <v>100</v>
      </c>
      <c r="K26" s="8">
        <v>1</v>
      </c>
      <c r="L26" s="2">
        <f t="shared" si="23"/>
        <v>427.67276678426043</v>
      </c>
      <c r="M26" s="4">
        <f t="shared" si="0"/>
        <v>0.96183206106870234</v>
      </c>
      <c r="N26" s="2" t="s">
        <v>29</v>
      </c>
      <c r="O26" s="2" t="e">
        <f t="shared" si="24"/>
        <v>#VALUE!</v>
      </c>
      <c r="P26" s="2">
        <f t="shared" si="25"/>
        <v>0.73283582089552302</v>
      </c>
      <c r="Q26" s="2">
        <f t="shared" si="26"/>
        <v>0.53202201354073275</v>
      </c>
      <c r="R26" s="2">
        <f t="shared" si="27"/>
        <v>9.6546491962194184E-2</v>
      </c>
      <c r="S26" s="2">
        <f>Q26/R26</f>
        <v>5.5105266149811296</v>
      </c>
      <c r="T26" s="5">
        <f>(J26+(L26*H26/Q26))/U26</f>
        <v>9.4732922167216418E-2</v>
      </c>
      <c r="U26" s="5">
        <f>F26*G26*H26</f>
        <v>1483.2719999999999</v>
      </c>
      <c r="V26" s="2">
        <f t="shared" si="28"/>
        <v>1055.5992332157396</v>
      </c>
      <c r="W26" s="2">
        <f>G26*Q26*Q26</f>
        <v>849.1422686758068</v>
      </c>
      <c r="X26" s="2">
        <f>U26/V26</f>
        <v>1.4051469092881144</v>
      </c>
      <c r="Y26" s="12">
        <f>L26/U26</f>
        <v>0.28833064116646201</v>
      </c>
      <c r="Z26" s="2">
        <f>W26/U26</f>
        <v>0.57247913307593401</v>
      </c>
      <c r="AA26" s="2">
        <f>W26/V26</f>
        <v>0.80441728447358785</v>
      </c>
      <c r="AB26" s="2">
        <f t="shared" si="29"/>
        <v>1.0620970348575642</v>
      </c>
      <c r="AC26" s="2">
        <f>((1/Y26)*M26)^(1/3)</f>
        <v>1.4941796500453031</v>
      </c>
      <c r="AD26" s="2">
        <f t="shared" si="30"/>
        <v>0.88648544053750644</v>
      </c>
      <c r="AE26" s="2">
        <f t="shared" si="31"/>
        <v>0.44791372002795959</v>
      </c>
    </row>
    <row r="27" spans="1:31" x14ac:dyDescent="0.3">
      <c r="A27" s="16" t="s">
        <v>55</v>
      </c>
      <c r="B27" s="2" t="s">
        <v>56</v>
      </c>
      <c r="C27" s="1">
        <v>0.31605952919385699</v>
      </c>
      <c r="D27" s="1">
        <v>0.22686567164179</v>
      </c>
      <c r="F27" s="2">
        <v>9.81</v>
      </c>
      <c r="G27" s="2">
        <v>3000</v>
      </c>
      <c r="H27" s="18">
        <f t="shared" si="21"/>
        <v>5.04E-2</v>
      </c>
      <c r="I27" s="2">
        <f t="shared" si="22"/>
        <v>2.6199999999999998E-2</v>
      </c>
      <c r="J27" s="2">
        <v>100</v>
      </c>
      <c r="K27" s="8">
        <v>1</v>
      </c>
      <c r="L27" s="2">
        <f t="shared" si="23"/>
        <v>468.80224998643064</v>
      </c>
      <c r="M27" s="4">
        <f t="shared" si="0"/>
        <v>0.96183206106870234</v>
      </c>
      <c r="N27" s="2" t="s">
        <v>29</v>
      </c>
      <c r="O27" s="2" t="e">
        <f t="shared" si="24"/>
        <v>#VALUE!</v>
      </c>
      <c r="P27" s="2">
        <f t="shared" si="25"/>
        <v>0.77313432835820994</v>
      </c>
      <c r="Q27" s="2">
        <f t="shared" si="26"/>
        <v>0.51129275400683893</v>
      </c>
      <c r="R27" s="2">
        <f t="shared" si="27"/>
        <v>0.11251229499956165</v>
      </c>
      <c r="S27" s="2">
        <f>Q27/R27</f>
        <v>4.5443278355386045</v>
      </c>
      <c r="T27" s="5">
        <f>(J27+(L27*H27/Q27))/U27</f>
        <v>9.8573663727935149E-2</v>
      </c>
      <c r="U27" s="5">
        <f>F27*G27*H27</f>
        <v>1483.2719999999999</v>
      </c>
      <c r="V27" s="2">
        <f t="shared" si="28"/>
        <v>1014.4697500135694</v>
      </c>
      <c r="W27" s="2">
        <f>G27*Q27*Q27</f>
        <v>784.26084089969368</v>
      </c>
      <c r="X27" s="2">
        <f>U27/V27</f>
        <v>1.4621155534506178</v>
      </c>
      <c r="Y27" s="12">
        <f>L27/U27</f>
        <v>0.31605952919385699</v>
      </c>
      <c r="Z27" s="2">
        <f>W27/U27</f>
        <v>0.52873703602555278</v>
      </c>
      <c r="AA27" s="2">
        <f>W27/V27</f>
        <v>0.77307464405834037</v>
      </c>
      <c r="AB27" s="2">
        <f t="shared" si="29"/>
        <v>1.0705727610700322</v>
      </c>
      <c r="AC27" s="2">
        <f>((1/Y27)*M27)^(1/3)</f>
        <v>1.449139252377416</v>
      </c>
      <c r="AD27" s="2">
        <f t="shared" si="30"/>
        <v>0.87250439126215451</v>
      </c>
      <c r="AE27" s="2">
        <f t="shared" si="31"/>
        <v>0.47618943928094809</v>
      </c>
    </row>
    <row r="28" spans="1:31" x14ac:dyDescent="0.3">
      <c r="H28" s="16"/>
      <c r="I28" s="16"/>
    </row>
    <row r="29" spans="1:31" x14ac:dyDescent="0.3">
      <c r="H29" s="16"/>
      <c r="I29" s="16"/>
    </row>
    <row r="30" spans="1:31" x14ac:dyDescent="0.3">
      <c r="H30" s="16"/>
      <c r="I30" s="16"/>
    </row>
    <row r="31" spans="1:31" x14ac:dyDescent="0.3">
      <c r="H31" s="16"/>
      <c r="I31" s="16"/>
    </row>
    <row r="32" spans="1:31" x14ac:dyDescent="0.3">
      <c r="H32" s="16"/>
      <c r="I32" s="16"/>
    </row>
    <row r="33" spans="8:9" x14ac:dyDescent="0.3">
      <c r="H33" s="16"/>
      <c r="I33" s="16"/>
    </row>
    <row r="34" spans="8:9" x14ac:dyDescent="0.3">
      <c r="H34" s="16"/>
      <c r="I34" s="16"/>
    </row>
    <row r="35" spans="8:9" x14ac:dyDescent="0.3">
      <c r="H35" s="16"/>
      <c r="I35" s="16"/>
    </row>
    <row r="36" spans="8:9" x14ac:dyDescent="0.3">
      <c r="H36" s="16"/>
      <c r="I36" s="16"/>
    </row>
    <row r="37" spans="8:9" x14ac:dyDescent="0.3">
      <c r="H37" s="16"/>
      <c r="I37" s="16"/>
    </row>
    <row r="38" spans="8:9" x14ac:dyDescent="0.3">
      <c r="H38" s="16"/>
      <c r="I38" s="16"/>
    </row>
    <row r="39" spans="8:9" x14ac:dyDescent="0.3">
      <c r="H39" s="16"/>
      <c r="I39" s="16"/>
    </row>
    <row r="40" spans="8:9" x14ac:dyDescent="0.3">
      <c r="H40" s="16"/>
      <c r="I40" s="16"/>
    </row>
  </sheetData>
  <mergeCells count="2">
    <mergeCell ref="F1:AE1"/>
    <mergeCell ref="B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43"/>
  <sheetViews>
    <sheetView workbookViewId="0">
      <selection sqref="A1:D1"/>
    </sheetView>
  </sheetViews>
  <sheetFormatPr baseColWidth="10" defaultColWidth="8.88671875" defaultRowHeight="14.4" x14ac:dyDescent="0.3"/>
  <cols>
    <col min="1" max="1" width="56" style="16" bestFit="1" customWidth="1"/>
    <col min="2" max="2" width="13.5546875" style="16" customWidth="1"/>
    <col min="3" max="3" width="9.88671875" customWidth="1"/>
    <col min="4" max="4" width="25.109375" customWidth="1"/>
    <col min="6" max="6" width="8" bestFit="1" customWidth="1"/>
    <col min="7" max="7" width="9.5546875" bestFit="1" customWidth="1"/>
    <col min="8" max="8" width="10" customWidth="1"/>
    <col min="19" max="19" width="12" bestFit="1" customWidth="1"/>
    <col min="21" max="21" width="11.109375" bestFit="1" customWidth="1"/>
    <col min="22" max="22" width="12.6640625" bestFit="1" customWidth="1"/>
    <col min="23" max="23" width="12" bestFit="1" customWidth="1"/>
    <col min="28" max="28" width="17" bestFit="1" customWidth="1"/>
    <col min="29" max="29" width="16.6640625" bestFit="1" customWidth="1"/>
    <col min="30" max="30" width="23.88671875" bestFit="1" customWidth="1"/>
    <col min="31" max="31" width="16.6640625" bestFit="1" customWidth="1"/>
  </cols>
  <sheetData>
    <row r="1" spans="1:32" ht="15" thickBot="1" x14ac:dyDescent="0.35">
      <c r="A1" s="36" t="s">
        <v>50</v>
      </c>
      <c r="B1" s="37"/>
      <c r="C1" s="37"/>
      <c r="D1" s="38"/>
      <c r="E1" s="16"/>
      <c r="F1" s="33" t="s">
        <v>23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5"/>
    </row>
    <row r="2" spans="1:32" ht="20.399999999999999" thickBot="1" x14ac:dyDescent="0.35">
      <c r="A2" s="17" t="s">
        <v>37</v>
      </c>
      <c r="B2" s="17" t="s">
        <v>35</v>
      </c>
      <c r="C2" s="17" t="s">
        <v>1</v>
      </c>
      <c r="D2" s="17" t="s">
        <v>41</v>
      </c>
      <c r="E2" s="16"/>
      <c r="F2" s="6" t="s">
        <v>6</v>
      </c>
      <c r="G2" s="6" t="s">
        <v>8</v>
      </c>
      <c r="H2" s="6" t="s">
        <v>9</v>
      </c>
      <c r="I2" s="6" t="s">
        <v>14</v>
      </c>
      <c r="J2" s="6" t="s">
        <v>7</v>
      </c>
      <c r="K2" s="6" t="s">
        <v>19</v>
      </c>
      <c r="L2" s="6" t="s">
        <v>4</v>
      </c>
      <c r="M2" s="20" t="s">
        <v>2</v>
      </c>
      <c r="N2" s="6" t="s">
        <v>38</v>
      </c>
      <c r="O2" s="6" t="s">
        <v>39</v>
      </c>
      <c r="P2" s="6" t="s">
        <v>40</v>
      </c>
      <c r="Q2" s="6" t="s">
        <v>10</v>
      </c>
      <c r="R2" s="6" t="s">
        <v>15</v>
      </c>
      <c r="S2" s="6" t="s">
        <v>16</v>
      </c>
      <c r="T2" s="15" t="s">
        <v>17</v>
      </c>
      <c r="U2" s="21" t="s">
        <v>3</v>
      </c>
      <c r="V2" s="6" t="s">
        <v>21</v>
      </c>
      <c r="W2" s="6" t="s">
        <v>13</v>
      </c>
      <c r="X2" s="6" t="s">
        <v>0</v>
      </c>
      <c r="Y2" s="6" t="s">
        <v>1</v>
      </c>
      <c r="Z2" s="6" t="s">
        <v>12</v>
      </c>
      <c r="AA2" s="6" t="s">
        <v>11</v>
      </c>
      <c r="AB2" s="6" t="s">
        <v>20</v>
      </c>
      <c r="AC2" s="6" t="s">
        <v>5</v>
      </c>
      <c r="AD2" s="6" t="s">
        <v>27</v>
      </c>
      <c r="AE2" s="6" t="s">
        <v>28</v>
      </c>
    </row>
    <row r="3" spans="1:32" x14ac:dyDescent="0.3">
      <c r="A3" s="24" t="s">
        <v>51</v>
      </c>
      <c r="B3" s="2" t="s">
        <v>34</v>
      </c>
      <c r="C3" s="2">
        <v>1.11071838563653E-3</v>
      </c>
      <c r="D3" s="2">
        <v>0.911657856851533</v>
      </c>
      <c r="E3" s="16"/>
      <c r="F3" s="2">
        <v>9.81</v>
      </c>
      <c r="G3" s="2">
        <v>2500</v>
      </c>
      <c r="H3" s="18">
        <f>50/1000</f>
        <v>0.05</v>
      </c>
      <c r="I3" s="2">
        <f>50/1000</f>
        <v>0.05</v>
      </c>
      <c r="J3" s="2">
        <v>10</v>
      </c>
      <c r="K3" s="8">
        <v>1</v>
      </c>
      <c r="L3" s="2">
        <f>C3*U3</f>
        <v>1.3620184203867949</v>
      </c>
      <c r="M3" s="4">
        <f>H3/I3</f>
        <v>1</v>
      </c>
      <c r="N3" s="2" t="s">
        <v>29</v>
      </c>
      <c r="O3" s="2" t="e">
        <f>N3-1</f>
        <v>#VALUE!</v>
      </c>
      <c r="P3" s="2">
        <f>1-D3</f>
        <v>8.8342143148467001E-2</v>
      </c>
      <c r="Q3" s="2">
        <f>(((U3-L3)*(H3^K3))/(J3))^(1/K3)</f>
        <v>6.1244399078980658</v>
      </c>
      <c r="R3" s="2">
        <f>(((L3^(((2*K3)+3)/3))*(H3^K3)*(1/J3))/((U3*M3)^(2*K3/3)))^(1/K3)</f>
        <v>7.3039135804940159E-5</v>
      </c>
      <c r="S3" s="2">
        <f>Q3/R3</f>
        <v>83851.483734064474</v>
      </c>
      <c r="T3" s="5">
        <f>(J3+(L3*H3/Q3))/U3</f>
        <v>8.1640118528259371E-3</v>
      </c>
      <c r="U3" s="5">
        <f>F3*G3*H3</f>
        <v>1226.25</v>
      </c>
      <c r="V3" s="2">
        <f>J3*((Q3/H3)^(K3))</f>
        <v>1224.8879815796131</v>
      </c>
      <c r="W3" s="2">
        <f>G3*Q3*Q3</f>
        <v>93771.910463636174</v>
      </c>
      <c r="X3" s="2">
        <f>U3/V3</f>
        <v>1.0011119534527806</v>
      </c>
      <c r="Y3" s="12">
        <f>L3/U3</f>
        <v>1.11071838563653E-3</v>
      </c>
      <c r="Z3" s="2">
        <f>W3/U3</f>
        <v>76.470467248632971</v>
      </c>
      <c r="AA3" s="2">
        <f>W3/V3</f>
        <v>76.555498848725833</v>
      </c>
      <c r="AB3" s="2">
        <f>(X3*M3)^((1)/((2*K3)+3))</f>
        <v>1.0002222918412598</v>
      </c>
      <c r="AC3" s="2">
        <f>((1/Y3)*M3)^(1/3)</f>
        <v>9.6560316309994221</v>
      </c>
      <c r="AD3" s="2">
        <f>((1/X3)*(1/M3))^((2)/((2*K3)+3))</f>
        <v>0.99955556451454375</v>
      </c>
      <c r="AE3" s="2">
        <f>((Y3)*(1/M3))^(2/3)</f>
        <v>1.0725131864838956E-2</v>
      </c>
    </row>
    <row r="4" spans="1:32" x14ac:dyDescent="0.3">
      <c r="A4" s="24" t="s">
        <v>51</v>
      </c>
      <c r="B4" s="1" t="s">
        <v>34</v>
      </c>
      <c r="C4" s="1">
        <v>1.174958424359E-3</v>
      </c>
      <c r="D4" s="1">
        <v>0.90353725106757599</v>
      </c>
      <c r="E4" s="16"/>
      <c r="F4" s="2">
        <v>9.81</v>
      </c>
      <c r="G4" s="2">
        <v>2500</v>
      </c>
      <c r="H4" s="18">
        <f t="shared" ref="H4:I19" si="0">50/1000</f>
        <v>0.05</v>
      </c>
      <c r="I4" s="2">
        <f t="shared" si="0"/>
        <v>0.05</v>
      </c>
      <c r="J4" s="2">
        <v>10</v>
      </c>
      <c r="K4" s="8">
        <v>1</v>
      </c>
      <c r="L4" s="2">
        <f>C4*U4</f>
        <v>1.4407927678702237</v>
      </c>
      <c r="M4" s="4">
        <f>H4/I4</f>
        <v>1</v>
      </c>
      <c r="N4" s="2" t="s">
        <v>29</v>
      </c>
      <c r="O4" s="2" t="e">
        <f>N4-1</f>
        <v>#VALUE!</v>
      </c>
      <c r="P4" s="2">
        <f>1-D4</f>
        <v>9.6462748932424014E-2</v>
      </c>
      <c r="Q4" s="2">
        <f t="shared" ref="Q4:Q43" si="1">(((U4-L4)*(H4^K4))/(J4))^(1/K4)</f>
        <v>6.1240460361606486</v>
      </c>
      <c r="R4" s="2">
        <f>(((L4^(((2*K4)+3)/3))*(H4^K4)*(1/J4))/((U4*M4)^(2*K4/3)))^(1/K4)</f>
        <v>8.0214557208991731E-5</v>
      </c>
      <c r="S4" s="2">
        <f>Q4/R4</f>
        <v>76345.818629965186</v>
      </c>
      <c r="T4" s="5">
        <f>(J4+(L4*H4/Q4))/U4</f>
        <v>8.16453692620288E-3</v>
      </c>
      <c r="U4" s="5">
        <f>F4*G4*H4</f>
        <v>1226.25</v>
      </c>
      <c r="V4" s="2">
        <f>J4*((Q4/H4)^(K4))</f>
        <v>1224.8092072321297</v>
      </c>
      <c r="W4" s="2">
        <f>G4*Q4*Q4</f>
        <v>93759.849632537385</v>
      </c>
      <c r="X4" s="2">
        <f>U4/V4</f>
        <v>1.0011763405756284</v>
      </c>
      <c r="Y4" s="12">
        <f>L4/U4</f>
        <v>1.174958424359E-3</v>
      </c>
      <c r="Z4" s="2">
        <f>W4/U4</f>
        <v>76.460631708491235</v>
      </c>
      <c r="AA4" s="2">
        <f>W4/V4</f>
        <v>76.550575452008118</v>
      </c>
      <c r="AB4" s="2">
        <f>(X4*M4)^((1)/((2*K4)+3))</f>
        <v>1.0002351574910235</v>
      </c>
      <c r="AC4" s="2">
        <f>((1/Y4)*M4)^(1/3)</f>
        <v>9.4767443900309587</v>
      </c>
      <c r="AD4" s="2">
        <f>((1/X4)*(1/M4))^((2)/((2*K4)+3))</f>
        <v>0.9995298508630891</v>
      </c>
      <c r="AE4" s="2">
        <f>((Y4)*(1/M4))^(2/3)</f>
        <v>1.1134780656563767E-2</v>
      </c>
      <c r="AF4" s="16"/>
    </row>
    <row r="5" spans="1:32" x14ac:dyDescent="0.3">
      <c r="A5" s="24" t="s">
        <v>51</v>
      </c>
      <c r="B5" s="1" t="s">
        <v>34</v>
      </c>
      <c r="C5" s="1">
        <v>1.72700559133016E-3</v>
      </c>
      <c r="D5" s="1">
        <v>0.89669017451266897</v>
      </c>
      <c r="E5" s="16"/>
      <c r="F5" s="1">
        <v>9.81</v>
      </c>
      <c r="G5" s="2">
        <v>2500</v>
      </c>
      <c r="H5" s="18">
        <f t="shared" si="0"/>
        <v>0.05</v>
      </c>
      <c r="I5" s="2">
        <f t="shared" si="0"/>
        <v>0.05</v>
      </c>
      <c r="J5" s="2">
        <v>10</v>
      </c>
      <c r="K5" s="8">
        <v>1</v>
      </c>
      <c r="L5" s="2">
        <f>C5*U5</f>
        <v>2.1177406063686086</v>
      </c>
      <c r="M5" s="4">
        <f>H5/I5</f>
        <v>1</v>
      </c>
      <c r="N5" s="2" t="s">
        <v>29</v>
      </c>
      <c r="O5" s="2" t="e">
        <f>N5-1</f>
        <v>#VALUE!</v>
      </c>
      <c r="P5" s="2">
        <f>1-D5</f>
        <v>0.10330982548733103</v>
      </c>
      <c r="Q5" s="2">
        <f t="shared" si="1"/>
        <v>6.1206612969681569</v>
      </c>
      <c r="R5" s="2">
        <f>(((L5^(((2*K5)+3)/3))*(H5^K5)*(1/J5))/((U5*M5)^(2*K5/3)))^(1/K5)</f>
        <v>1.5241882083490781E-4</v>
      </c>
      <c r="S5" s="2">
        <f>Q5/R5</f>
        <v>40156.860310563228</v>
      </c>
      <c r="T5" s="5">
        <f>(J5+(L5*H5/Q5))/U5</f>
        <v>8.1690519331248223E-3</v>
      </c>
      <c r="U5" s="5">
        <f>F5*G5*H5</f>
        <v>1226.25</v>
      </c>
      <c r="V5" s="2">
        <f>J5*((Q5/H5)^(K5))</f>
        <v>1224.1322593936313</v>
      </c>
      <c r="W5" s="2">
        <f>G5*Q5*Q5</f>
        <v>93656.236780509804</v>
      </c>
      <c r="X5" s="2">
        <f>U5/V5</f>
        <v>1.0017299932994312</v>
      </c>
      <c r="Y5" s="12">
        <f>L5/U5</f>
        <v>1.72700559133016E-3</v>
      </c>
      <c r="Z5" s="2">
        <f>W5/U5</f>
        <v>76.376136008570683</v>
      </c>
      <c r="AA5" s="2">
        <f>W5/V5</f>
        <v>76.508266212101972</v>
      </c>
      <c r="AB5" s="2">
        <f>(X5*M5)^((1)/((2*K5)+3))</f>
        <v>1.0003457594779679</v>
      </c>
      <c r="AC5" s="2">
        <f>((1/Y5)*M5)^(1/3)</f>
        <v>8.3349324690408082</v>
      </c>
      <c r="AD5" s="2">
        <f>((1/X5)*(1/M5))^((2)/((2*K5)+3))</f>
        <v>0.99930883952764371</v>
      </c>
      <c r="AE5" s="2">
        <f>((Y5)*(1/M5))^(2/3)</f>
        <v>1.4394474977392779E-2</v>
      </c>
      <c r="AF5" s="16"/>
    </row>
    <row r="6" spans="1:32" x14ac:dyDescent="0.3">
      <c r="A6" s="24" t="s">
        <v>51</v>
      </c>
      <c r="B6" s="1" t="s">
        <v>34</v>
      </c>
      <c r="C6" s="1">
        <v>2.7729952889754602E-3</v>
      </c>
      <c r="D6" s="1">
        <v>0.87359378334067095</v>
      </c>
      <c r="F6" s="1">
        <v>9.81</v>
      </c>
      <c r="G6" s="2">
        <v>2500</v>
      </c>
      <c r="H6" s="18">
        <f t="shared" si="0"/>
        <v>0.05</v>
      </c>
      <c r="I6" s="2">
        <f t="shared" si="0"/>
        <v>0.05</v>
      </c>
      <c r="J6" s="2">
        <v>10</v>
      </c>
      <c r="K6" s="8">
        <v>1</v>
      </c>
      <c r="L6" s="2">
        <f t="shared" ref="L6:L43" si="2">C6*U6</f>
        <v>3.4003854731061582</v>
      </c>
      <c r="M6" s="4">
        <f t="shared" ref="M6:M43" si="3">H6/I6</f>
        <v>1</v>
      </c>
      <c r="N6" s="2" t="s">
        <v>29</v>
      </c>
      <c r="O6" s="2" t="e">
        <f t="shared" ref="O6:O43" si="4">N6-1</f>
        <v>#VALUE!</v>
      </c>
      <c r="P6" s="2">
        <f t="shared" ref="P6:P43" si="5">1-D6</f>
        <v>0.12640621665932905</v>
      </c>
      <c r="Q6" s="2">
        <f t="shared" si="1"/>
        <v>6.1142480726344699</v>
      </c>
      <c r="R6" s="2">
        <f t="shared" ref="R6:R43" si="6">(((L6^(((2*K6)+3)/3))*(H6^K6)*(1/J6))/((U6*M6)^(2*K6/3)))^(1/K6)</f>
        <v>3.3558116519153932E-4</v>
      </c>
      <c r="S6" s="2">
        <f t="shared" ref="S6:S43" si="7">Q6/R6</f>
        <v>18219.878547547942</v>
      </c>
      <c r="T6" s="5">
        <f t="shared" ref="T6:T43" si="8">(J6+(L6*H6/Q6))/U6</f>
        <v>8.1776204377092456E-3</v>
      </c>
      <c r="U6" s="5">
        <f t="shared" ref="U6:U43" si="9">F6*G6*H6</f>
        <v>1226.25</v>
      </c>
      <c r="V6" s="2">
        <f t="shared" ref="V6:V43" si="10">J6*((Q6/H6)^(K6))</f>
        <v>1222.8496145268939</v>
      </c>
      <c r="W6" s="2">
        <f t="shared" ref="W6:W43" si="11">G6*Q6*Q6</f>
        <v>93460.073734285819</v>
      </c>
      <c r="X6" s="2">
        <f t="shared" ref="X6:X43" si="12">U6/V6</f>
        <v>1.0027807061740963</v>
      </c>
      <c r="Y6" s="12">
        <f t="shared" ref="Y6:Y43" si="13">L6/U6</f>
        <v>2.7729952889754602E-3</v>
      </c>
      <c r="Z6" s="2">
        <f t="shared" ref="Z6:Z43" si="14">W6/U6</f>
        <v>76.216166144167843</v>
      </c>
      <c r="AA6" s="2">
        <f t="shared" ref="AA6:AA43" si="15">W6/V6</f>
        <v>76.428100907930869</v>
      </c>
      <c r="AB6" s="2">
        <f t="shared" ref="AB6:AB43" si="16">(X6*M6)^((1)/((2*K6)+3))</f>
        <v>1.0005555236787322</v>
      </c>
      <c r="AC6" s="2">
        <f t="shared" ref="AC6:AC43" si="17">((1/Y6)*M6)^(1/3)</f>
        <v>7.1178738938288655</v>
      </c>
      <c r="AD6" s="2">
        <f t="shared" ref="AD6:AD43" si="18">((1/X6)*(1/M6))^((2)/((2*K6)+3))</f>
        <v>0.99888987777693128</v>
      </c>
      <c r="AE6" s="2">
        <f t="shared" ref="AE6:AE43" si="19">((Y6)*(1/M6))^(2/3)</f>
        <v>1.9737830775108853E-2</v>
      </c>
      <c r="AF6" s="16"/>
    </row>
    <row r="7" spans="1:32" x14ac:dyDescent="0.3">
      <c r="A7" s="24" t="s">
        <v>51</v>
      </c>
      <c r="B7" s="1" t="s">
        <v>34</v>
      </c>
      <c r="C7" s="1">
        <v>2.9336218670823699E-3</v>
      </c>
      <c r="D7" s="1">
        <v>0.85500808954409502</v>
      </c>
      <c r="F7" s="1">
        <v>9.81</v>
      </c>
      <c r="G7" s="2">
        <v>2500</v>
      </c>
      <c r="H7" s="18">
        <f t="shared" si="0"/>
        <v>0.05</v>
      </c>
      <c r="I7" s="2">
        <f t="shared" si="0"/>
        <v>0.05</v>
      </c>
      <c r="J7" s="2">
        <v>10</v>
      </c>
      <c r="K7" s="8">
        <v>1</v>
      </c>
      <c r="L7" s="2">
        <f t="shared" si="2"/>
        <v>3.5973538145097561</v>
      </c>
      <c r="M7" s="4">
        <f t="shared" si="3"/>
        <v>1</v>
      </c>
      <c r="N7" s="2" t="s">
        <v>29</v>
      </c>
      <c r="O7" s="2" t="e">
        <f t="shared" si="4"/>
        <v>#VALUE!</v>
      </c>
      <c r="P7" s="2">
        <f t="shared" si="5"/>
        <v>0.14499191045590498</v>
      </c>
      <c r="Q7" s="2">
        <f t="shared" si="1"/>
        <v>6.1132632309274522</v>
      </c>
      <c r="R7" s="2">
        <f t="shared" si="6"/>
        <v>3.6860049577387509E-4</v>
      </c>
      <c r="S7" s="2">
        <f t="shared" si="7"/>
        <v>16585.065134252418</v>
      </c>
      <c r="T7" s="5">
        <f t="shared" si="8"/>
        <v>8.1789378456740263E-3</v>
      </c>
      <c r="U7" s="5">
        <f t="shared" si="9"/>
        <v>1226.25</v>
      </c>
      <c r="V7" s="2">
        <f t="shared" si="10"/>
        <v>1222.6526461854903</v>
      </c>
      <c r="W7" s="2">
        <f t="shared" si="11"/>
        <v>93429.968326523885</v>
      </c>
      <c r="X7" s="2">
        <f t="shared" si="12"/>
        <v>1.0029422533257772</v>
      </c>
      <c r="Y7" s="12">
        <f t="shared" si="13"/>
        <v>2.9336218670823699E-3</v>
      </c>
      <c r="Z7" s="2">
        <f t="shared" si="14"/>
        <v>76.191615352924671</v>
      </c>
      <c r="AA7" s="2">
        <f t="shared" si="15"/>
        <v>76.415790386593159</v>
      </c>
      <c r="AB7" s="2">
        <f t="shared" si="16"/>
        <v>1.0005877593368639</v>
      </c>
      <c r="AC7" s="2">
        <f t="shared" si="17"/>
        <v>6.9855180945645294</v>
      </c>
      <c r="AD7" s="2">
        <f t="shared" si="18"/>
        <v>0.99882551689779064</v>
      </c>
      <c r="AE7" s="2">
        <f t="shared" si="19"/>
        <v>2.0492868635114077E-2</v>
      </c>
      <c r="AF7" s="16"/>
    </row>
    <row r="8" spans="1:32" x14ac:dyDescent="0.3">
      <c r="A8" s="24" t="s">
        <v>51</v>
      </c>
      <c r="B8" s="1" t="s">
        <v>34</v>
      </c>
      <c r="C8" s="1">
        <v>2.9333482028467799E-3</v>
      </c>
      <c r="D8" s="1">
        <v>0.86663596511367202</v>
      </c>
      <c r="F8" s="1">
        <v>9.81</v>
      </c>
      <c r="G8" s="2">
        <v>2500</v>
      </c>
      <c r="H8" s="18">
        <f t="shared" si="0"/>
        <v>0.05</v>
      </c>
      <c r="I8" s="2">
        <f t="shared" si="0"/>
        <v>0.05</v>
      </c>
      <c r="J8" s="2">
        <v>10</v>
      </c>
      <c r="K8" s="8">
        <v>1</v>
      </c>
      <c r="L8" s="2">
        <f t="shared" si="2"/>
        <v>3.5970182337408638</v>
      </c>
      <c r="M8" s="4">
        <f t="shared" si="3"/>
        <v>1</v>
      </c>
      <c r="N8" s="2" t="s">
        <v>29</v>
      </c>
      <c r="O8" s="2" t="e">
        <f t="shared" si="4"/>
        <v>#VALUE!</v>
      </c>
      <c r="P8" s="2">
        <f t="shared" si="5"/>
        <v>0.13336403488632798</v>
      </c>
      <c r="Q8" s="2">
        <f t="shared" si="1"/>
        <v>6.1132649088312965</v>
      </c>
      <c r="R8" s="2">
        <f t="shared" si="6"/>
        <v>3.6854318911746327E-4</v>
      </c>
      <c r="S8" s="2">
        <f t="shared" si="7"/>
        <v>16587.648583251546</v>
      </c>
      <c r="T8" s="5">
        <f t="shared" si="8"/>
        <v>8.1789356008062728E-3</v>
      </c>
      <c r="U8" s="5">
        <f t="shared" si="9"/>
        <v>1226.25</v>
      </c>
      <c r="V8" s="2">
        <f t="shared" si="10"/>
        <v>1222.6529817662592</v>
      </c>
      <c r="W8" s="2">
        <f t="shared" si="11"/>
        <v>93430.019613870303</v>
      </c>
      <c r="X8" s="2">
        <f t="shared" si="12"/>
        <v>1.0029419780488691</v>
      </c>
      <c r="Y8" s="12">
        <f t="shared" si="13"/>
        <v>2.9333482028467799E-3</v>
      </c>
      <c r="Z8" s="2">
        <f t="shared" si="14"/>
        <v>76.19165717746813</v>
      </c>
      <c r="AA8" s="2">
        <f t="shared" si="15"/>
        <v>76.415811360391217</v>
      </c>
      <c r="AB8" s="2">
        <f t="shared" si="16"/>
        <v>1.0005877044107236</v>
      </c>
      <c r="AC8" s="2">
        <f t="shared" si="17"/>
        <v>6.9857353238068747</v>
      </c>
      <c r="AD8" s="2">
        <f t="shared" si="18"/>
        <v>0.99882562655660778</v>
      </c>
      <c r="AE8" s="2">
        <f t="shared" si="19"/>
        <v>2.0491594157652157E-2</v>
      </c>
      <c r="AF8" s="16"/>
    </row>
    <row r="9" spans="1:32" x14ac:dyDescent="0.3">
      <c r="A9" s="24" t="s">
        <v>51</v>
      </c>
      <c r="B9" s="1" t="s">
        <v>34</v>
      </c>
      <c r="C9" s="1">
        <v>3.9481029704911998E-3</v>
      </c>
      <c r="D9" s="1">
        <v>0.83650342623929297</v>
      </c>
      <c r="F9" s="1">
        <v>9.81</v>
      </c>
      <c r="G9" s="2">
        <v>2500</v>
      </c>
      <c r="H9" s="18">
        <f t="shared" si="0"/>
        <v>0.05</v>
      </c>
      <c r="I9" s="2">
        <f t="shared" si="0"/>
        <v>0.05</v>
      </c>
      <c r="J9" s="2">
        <v>10</v>
      </c>
      <c r="K9" s="8">
        <v>1</v>
      </c>
      <c r="L9" s="2">
        <f t="shared" si="2"/>
        <v>4.8413612675648334</v>
      </c>
      <c r="M9" s="4">
        <f t="shared" si="3"/>
        <v>1</v>
      </c>
      <c r="N9" s="2" t="s">
        <v>29</v>
      </c>
      <c r="O9" s="2" t="e">
        <f t="shared" si="4"/>
        <v>#VALUE!</v>
      </c>
      <c r="P9" s="2">
        <f t="shared" si="5"/>
        <v>0.16349657376070703</v>
      </c>
      <c r="Q9" s="2">
        <f t="shared" si="1"/>
        <v>6.1070431936621761</v>
      </c>
      <c r="R9" s="2">
        <f t="shared" si="6"/>
        <v>6.0468585516782619E-4</v>
      </c>
      <c r="S9" s="2">
        <f t="shared" si="7"/>
        <v>10099.53042802235</v>
      </c>
      <c r="T9" s="5">
        <f t="shared" si="8"/>
        <v>8.1872681123148876E-3</v>
      </c>
      <c r="U9" s="5">
        <f t="shared" si="9"/>
        <v>1226.25</v>
      </c>
      <c r="V9" s="2">
        <f t="shared" si="10"/>
        <v>1221.4086387324351</v>
      </c>
      <c r="W9" s="2">
        <f t="shared" si="11"/>
        <v>93239.941423138778</v>
      </c>
      <c r="X9" s="2">
        <f t="shared" si="12"/>
        <v>1.003963752272613</v>
      </c>
      <c r="Y9" s="12">
        <f t="shared" si="13"/>
        <v>3.9481029704911998E-3</v>
      </c>
      <c r="Z9" s="2">
        <f t="shared" si="14"/>
        <v>76.036649478604502</v>
      </c>
      <c r="AA9" s="2">
        <f t="shared" si="15"/>
        <v>76.338039920777206</v>
      </c>
      <c r="AB9" s="2">
        <f t="shared" si="16"/>
        <v>1.0007914965289268</v>
      </c>
      <c r="AC9" s="2">
        <f t="shared" si="17"/>
        <v>6.3270875358570526</v>
      </c>
      <c r="AD9" s="2">
        <f t="shared" si="18"/>
        <v>0.99841888436098747</v>
      </c>
      <c r="AE9" s="2">
        <f t="shared" si="19"/>
        <v>2.4979993094875093E-2</v>
      </c>
      <c r="AF9" s="16"/>
    </row>
    <row r="10" spans="1:32" x14ac:dyDescent="0.3">
      <c r="A10" s="24" t="s">
        <v>51</v>
      </c>
      <c r="B10" s="1" t="s">
        <v>34</v>
      </c>
      <c r="C10" s="1">
        <v>3.9795344337899396E-3</v>
      </c>
      <c r="D10" s="1">
        <v>0.84813400282526297</v>
      </c>
      <c r="F10" s="1">
        <v>9.81</v>
      </c>
      <c r="G10" s="2">
        <v>2500</v>
      </c>
      <c r="H10" s="18">
        <f t="shared" si="0"/>
        <v>0.05</v>
      </c>
      <c r="I10" s="2">
        <f t="shared" si="0"/>
        <v>0.05</v>
      </c>
      <c r="J10" s="2">
        <v>10</v>
      </c>
      <c r="K10" s="8">
        <v>1</v>
      </c>
      <c r="L10" s="2">
        <f t="shared" si="2"/>
        <v>4.8799040994349134</v>
      </c>
      <c r="M10" s="4">
        <f t="shared" si="3"/>
        <v>1</v>
      </c>
      <c r="N10" s="2" t="s">
        <v>29</v>
      </c>
      <c r="O10" s="2" t="e">
        <f t="shared" si="4"/>
        <v>#VALUE!</v>
      </c>
      <c r="P10" s="2">
        <f t="shared" si="5"/>
        <v>0.15186599717473703</v>
      </c>
      <c r="Q10" s="2">
        <f t="shared" si="1"/>
        <v>6.1068504795028256</v>
      </c>
      <c r="R10" s="2">
        <f t="shared" si="6"/>
        <v>6.1273045866201052E-4</v>
      </c>
      <c r="S10" s="2">
        <f t="shared" si="7"/>
        <v>9966.6180996421426</v>
      </c>
      <c r="T10" s="5">
        <f t="shared" si="8"/>
        <v>8.1875264783084437E-3</v>
      </c>
      <c r="U10" s="5">
        <f t="shared" si="9"/>
        <v>1226.25</v>
      </c>
      <c r="V10" s="2">
        <f t="shared" si="10"/>
        <v>1221.370095900565</v>
      </c>
      <c r="W10" s="2">
        <f t="shared" si="11"/>
        <v>93234.056947509729</v>
      </c>
      <c r="X10" s="2">
        <f t="shared" si="12"/>
        <v>1.003995434402573</v>
      </c>
      <c r="Y10" s="12">
        <f t="shared" si="13"/>
        <v>3.9795344337899396E-3</v>
      </c>
      <c r="Z10" s="2">
        <f t="shared" si="14"/>
        <v>76.031850721720474</v>
      </c>
      <c r="AA10" s="2">
        <f t="shared" si="15"/>
        <v>76.33563099378533</v>
      </c>
      <c r="AB10" s="2">
        <f t="shared" si="16"/>
        <v>1.0007978128537858</v>
      </c>
      <c r="AC10" s="2">
        <f t="shared" si="17"/>
        <v>6.3103857911078816</v>
      </c>
      <c r="AD10" s="2">
        <f t="shared" si="18"/>
        <v>0.99840628177925261</v>
      </c>
      <c r="AE10" s="2">
        <f t="shared" si="19"/>
        <v>2.5112397546212584E-2</v>
      </c>
      <c r="AF10" s="16"/>
    </row>
    <row r="11" spans="1:32" x14ac:dyDescent="0.3">
      <c r="A11" s="24" t="s">
        <v>51</v>
      </c>
      <c r="B11" s="1" t="s">
        <v>34</v>
      </c>
      <c r="C11" s="1">
        <v>4.2096574148301402E-3</v>
      </c>
      <c r="D11" s="1">
        <v>0.84117618459826404</v>
      </c>
      <c r="F11" s="1">
        <v>9.81</v>
      </c>
      <c r="G11" s="2">
        <v>2500</v>
      </c>
      <c r="H11" s="18">
        <f t="shared" si="0"/>
        <v>0.05</v>
      </c>
      <c r="I11" s="2">
        <f t="shared" si="0"/>
        <v>0.05</v>
      </c>
      <c r="J11" s="2">
        <v>10</v>
      </c>
      <c r="K11" s="8">
        <v>1</v>
      </c>
      <c r="L11" s="2">
        <f t="shared" si="2"/>
        <v>5.1620924049354597</v>
      </c>
      <c r="M11" s="4">
        <f t="shared" si="3"/>
        <v>1</v>
      </c>
      <c r="N11" s="2" t="s">
        <v>29</v>
      </c>
      <c r="O11" s="2" t="e">
        <f t="shared" si="4"/>
        <v>#VALUE!</v>
      </c>
      <c r="P11" s="2">
        <f t="shared" si="5"/>
        <v>0.15882381540173596</v>
      </c>
      <c r="Q11" s="2">
        <f t="shared" si="1"/>
        <v>6.1054395379753235</v>
      </c>
      <c r="R11" s="2">
        <f t="shared" si="6"/>
        <v>6.729151118353544E-4</v>
      </c>
      <c r="S11" s="2">
        <f t="shared" si="7"/>
        <v>9073.119968019344</v>
      </c>
      <c r="T11" s="5">
        <f t="shared" si="8"/>
        <v>8.1894185814148489E-3</v>
      </c>
      <c r="U11" s="5">
        <f t="shared" si="9"/>
        <v>1226.25</v>
      </c>
      <c r="V11" s="2">
        <f t="shared" si="10"/>
        <v>1221.0879075950647</v>
      </c>
      <c r="W11" s="2">
        <f t="shared" si="11"/>
        <v>93190.979879680832</v>
      </c>
      <c r="X11" s="2">
        <f t="shared" si="12"/>
        <v>1.0042274535459956</v>
      </c>
      <c r="Y11" s="12">
        <f t="shared" si="13"/>
        <v>4.2096574148301402E-3</v>
      </c>
      <c r="Z11" s="2">
        <f t="shared" si="14"/>
        <v>75.996721614418618</v>
      </c>
      <c r="AA11" s="2">
        <f t="shared" si="15"/>
        <v>76.317994224691546</v>
      </c>
      <c r="AB11" s="2">
        <f t="shared" si="16"/>
        <v>1.0008440646158407</v>
      </c>
      <c r="AC11" s="2">
        <f t="shared" si="17"/>
        <v>6.1932376978483177</v>
      </c>
      <c r="AD11" s="2">
        <f t="shared" si="18"/>
        <v>0.99831400570068241</v>
      </c>
      <c r="AE11" s="2">
        <f t="shared" si="19"/>
        <v>2.6071408996552713E-2</v>
      </c>
      <c r="AF11" s="16"/>
    </row>
    <row r="12" spans="1:32" x14ac:dyDescent="0.3">
      <c r="A12" s="24" t="s">
        <v>51</v>
      </c>
      <c r="B12" s="1" t="s">
        <v>34</v>
      </c>
      <c r="C12" s="1">
        <v>5.5308816245165397E-3</v>
      </c>
      <c r="D12" s="1">
        <v>0.81801226801645399</v>
      </c>
      <c r="F12" s="1">
        <v>9.81</v>
      </c>
      <c r="G12" s="2">
        <v>2500</v>
      </c>
      <c r="H12" s="18">
        <f t="shared" si="0"/>
        <v>0.05</v>
      </c>
      <c r="I12" s="2">
        <f t="shared" si="0"/>
        <v>0.05</v>
      </c>
      <c r="J12" s="2">
        <v>10</v>
      </c>
      <c r="K12" s="8">
        <v>1</v>
      </c>
      <c r="L12" s="2">
        <f t="shared" si="2"/>
        <v>6.7822435920634065</v>
      </c>
      <c r="M12" s="4">
        <f t="shared" si="3"/>
        <v>1</v>
      </c>
      <c r="N12" s="2" t="s">
        <v>29</v>
      </c>
      <c r="O12" s="2" t="e">
        <f t="shared" si="4"/>
        <v>#VALUE!</v>
      </c>
      <c r="P12" s="2">
        <f t="shared" si="5"/>
        <v>0.18198773198354601</v>
      </c>
      <c r="Q12" s="2">
        <f t="shared" si="1"/>
        <v>6.0973387820396834</v>
      </c>
      <c r="R12" s="2">
        <f t="shared" si="6"/>
        <v>1.0605707140076874E-3</v>
      </c>
      <c r="S12" s="2">
        <f t="shared" si="7"/>
        <v>5749.1110224975409</v>
      </c>
      <c r="T12" s="5">
        <f t="shared" si="8"/>
        <v>8.2002988168018431E-3</v>
      </c>
      <c r="U12" s="5">
        <f t="shared" si="9"/>
        <v>1226.25</v>
      </c>
      <c r="V12" s="2">
        <f t="shared" si="10"/>
        <v>1219.4677564079366</v>
      </c>
      <c r="W12" s="2">
        <f t="shared" si="11"/>
        <v>92943.850557412923</v>
      </c>
      <c r="X12" s="2">
        <f t="shared" si="12"/>
        <v>1.005561642410326</v>
      </c>
      <c r="Y12" s="12">
        <f t="shared" si="13"/>
        <v>5.5308816245165397E-3</v>
      </c>
      <c r="Z12" s="2">
        <f t="shared" si="14"/>
        <v>75.795189037645599</v>
      </c>
      <c r="AA12" s="2">
        <f t="shared" si="15"/>
        <v>76.21673477549605</v>
      </c>
      <c r="AB12" s="2">
        <f t="shared" si="16"/>
        <v>1.0011098621582837</v>
      </c>
      <c r="AC12" s="2">
        <f t="shared" si="17"/>
        <v>5.6545998695216868</v>
      </c>
      <c r="AD12" s="2">
        <f t="shared" si="18"/>
        <v>0.99778396560455418</v>
      </c>
      <c r="AE12" s="2">
        <f t="shared" si="19"/>
        <v>3.1274922512331146E-2</v>
      </c>
      <c r="AF12" s="16"/>
    </row>
    <row r="13" spans="1:32" x14ac:dyDescent="0.3">
      <c r="A13" s="24" t="s">
        <v>51</v>
      </c>
      <c r="B13" s="1" t="s">
        <v>34</v>
      </c>
      <c r="C13" s="1">
        <v>6.65227177234209E-3</v>
      </c>
      <c r="D13" s="1">
        <v>0.80760930338086201</v>
      </c>
      <c r="F13" s="1">
        <v>9.81</v>
      </c>
      <c r="G13" s="2">
        <v>2500</v>
      </c>
      <c r="H13" s="18">
        <f t="shared" si="0"/>
        <v>0.05</v>
      </c>
      <c r="I13" s="2">
        <f t="shared" si="0"/>
        <v>0.05</v>
      </c>
      <c r="J13" s="2">
        <v>10</v>
      </c>
      <c r="K13" s="8">
        <v>1</v>
      </c>
      <c r="L13" s="2">
        <f t="shared" si="2"/>
        <v>8.1573482608344872</v>
      </c>
      <c r="M13" s="4">
        <f t="shared" si="3"/>
        <v>1</v>
      </c>
      <c r="N13" s="2" t="s">
        <v>29</v>
      </c>
      <c r="O13" s="2" t="e">
        <f t="shared" si="4"/>
        <v>#VALUE!</v>
      </c>
      <c r="P13" s="2">
        <f t="shared" si="5"/>
        <v>0.19239069661913799</v>
      </c>
      <c r="Q13" s="2">
        <f t="shared" si="1"/>
        <v>6.0904632586958289</v>
      </c>
      <c r="R13" s="2">
        <f t="shared" si="6"/>
        <v>1.4426655594455796E-3</v>
      </c>
      <c r="S13" s="2">
        <f t="shared" si="7"/>
        <v>4221.6737058839963</v>
      </c>
      <c r="T13" s="5">
        <f t="shared" si="8"/>
        <v>8.209556133289388E-3</v>
      </c>
      <c r="U13" s="5">
        <f t="shared" si="9"/>
        <v>1226.25</v>
      </c>
      <c r="V13" s="2">
        <f t="shared" si="10"/>
        <v>1218.0926517391658</v>
      </c>
      <c r="W13" s="2">
        <f t="shared" si="11"/>
        <v>92734.356763809541</v>
      </c>
      <c r="X13" s="2">
        <f t="shared" si="12"/>
        <v>1.0066968208446108</v>
      </c>
      <c r="Y13" s="12">
        <f t="shared" si="13"/>
        <v>6.6522717723420891E-3</v>
      </c>
      <c r="Z13" s="2">
        <f t="shared" si="14"/>
        <v>75.624348023494022</v>
      </c>
      <c r="AA13" s="2">
        <f t="shared" si="15"/>
        <v>76.130790733697864</v>
      </c>
      <c r="AB13" s="2">
        <f t="shared" si="16"/>
        <v>1.0013357907250142</v>
      </c>
      <c r="AC13" s="2">
        <f t="shared" si="17"/>
        <v>5.3171225745426156</v>
      </c>
      <c r="AD13" s="2">
        <f t="shared" si="18"/>
        <v>0.99733376204244617</v>
      </c>
      <c r="AE13" s="2">
        <f t="shared" si="19"/>
        <v>3.5370944412712733E-2</v>
      </c>
      <c r="AF13" s="16"/>
    </row>
    <row r="14" spans="1:32" x14ac:dyDescent="0.3">
      <c r="A14" s="24" t="s">
        <v>51</v>
      </c>
      <c r="B14" s="1" t="s">
        <v>34</v>
      </c>
      <c r="C14" s="1">
        <v>7.0942958742010202E-3</v>
      </c>
      <c r="D14" s="1">
        <v>0.78902631060067896</v>
      </c>
      <c r="F14" s="1">
        <v>9.81</v>
      </c>
      <c r="G14" s="2">
        <v>2500</v>
      </c>
      <c r="H14" s="18">
        <f t="shared" si="0"/>
        <v>0.05</v>
      </c>
      <c r="I14" s="2">
        <f t="shared" si="0"/>
        <v>0.05</v>
      </c>
      <c r="J14" s="2">
        <v>10</v>
      </c>
      <c r="K14" s="8">
        <v>1</v>
      </c>
      <c r="L14" s="2">
        <f t="shared" si="2"/>
        <v>8.6993803157390008</v>
      </c>
      <c r="M14" s="4">
        <f t="shared" si="3"/>
        <v>1</v>
      </c>
      <c r="N14" s="2" t="s">
        <v>29</v>
      </c>
      <c r="O14" s="2" t="e">
        <f t="shared" si="4"/>
        <v>#VALUE!</v>
      </c>
      <c r="P14" s="2">
        <f t="shared" si="5"/>
        <v>0.21097368939932104</v>
      </c>
      <c r="Q14" s="2">
        <f t="shared" si="1"/>
        <v>6.0877530984213051</v>
      </c>
      <c r="R14" s="2">
        <f t="shared" si="6"/>
        <v>1.6059469194765902E-3</v>
      </c>
      <c r="S14" s="2">
        <f t="shared" si="7"/>
        <v>3790.7561106723406</v>
      </c>
      <c r="T14" s="5">
        <f t="shared" si="8"/>
        <v>8.2132108828405267E-3</v>
      </c>
      <c r="U14" s="5">
        <f t="shared" si="9"/>
        <v>1226.25</v>
      </c>
      <c r="V14" s="2">
        <f t="shared" si="10"/>
        <v>1217.5506196842609</v>
      </c>
      <c r="W14" s="2">
        <f t="shared" si="11"/>
        <v>92651.844468345502</v>
      </c>
      <c r="X14" s="2">
        <f t="shared" si="12"/>
        <v>1.0071449845083196</v>
      </c>
      <c r="Y14" s="12">
        <f t="shared" si="13"/>
        <v>7.0942958742010202E-3</v>
      </c>
      <c r="Z14" s="2">
        <f t="shared" si="14"/>
        <v>75.557059709150252</v>
      </c>
      <c r="AA14" s="2">
        <f t="shared" si="15"/>
        <v>76.096913730266323</v>
      </c>
      <c r="AB14" s="2">
        <f t="shared" si="16"/>
        <v>1.0014249302586247</v>
      </c>
      <c r="AC14" s="2">
        <f t="shared" si="17"/>
        <v>5.2043149103000896</v>
      </c>
      <c r="AD14" s="2">
        <f t="shared" si="18"/>
        <v>0.9971562192091914</v>
      </c>
      <c r="AE14" s="2">
        <f t="shared" si="19"/>
        <v>3.6920949796184793E-2</v>
      </c>
      <c r="AF14" s="16"/>
    </row>
    <row r="15" spans="1:32" x14ac:dyDescent="0.3">
      <c r="A15" s="24" t="s">
        <v>51</v>
      </c>
      <c r="B15" s="1" t="s">
        <v>34</v>
      </c>
      <c r="C15" s="1">
        <v>8.7410209240405701E-3</v>
      </c>
      <c r="D15" s="1">
        <v>0.77165472367251697</v>
      </c>
      <c r="F15" s="1">
        <v>9.81</v>
      </c>
      <c r="G15" s="2">
        <v>2500</v>
      </c>
      <c r="H15" s="18">
        <f t="shared" si="0"/>
        <v>0.05</v>
      </c>
      <c r="I15" s="2">
        <f t="shared" si="0"/>
        <v>0.05</v>
      </c>
      <c r="J15" s="2">
        <v>10</v>
      </c>
      <c r="K15" s="8">
        <v>1</v>
      </c>
      <c r="L15" s="2">
        <f t="shared" si="2"/>
        <v>10.718676908104749</v>
      </c>
      <c r="M15" s="4">
        <f t="shared" si="3"/>
        <v>1</v>
      </c>
      <c r="N15" s="2" t="s">
        <v>29</v>
      </c>
      <c r="O15" s="2" t="e">
        <f t="shared" si="4"/>
        <v>#VALUE!</v>
      </c>
      <c r="P15" s="2">
        <f t="shared" si="5"/>
        <v>0.22834527632748303</v>
      </c>
      <c r="Q15" s="2">
        <f t="shared" si="1"/>
        <v>6.0776566154594764</v>
      </c>
      <c r="R15" s="2">
        <f t="shared" si="6"/>
        <v>2.2741509652044697E-3</v>
      </c>
      <c r="S15" s="2">
        <f t="shared" si="7"/>
        <v>2672.4947940793509</v>
      </c>
      <c r="T15" s="5">
        <f t="shared" si="8"/>
        <v>8.2268550468641375E-3</v>
      </c>
      <c r="U15" s="5">
        <f t="shared" si="9"/>
        <v>1226.25</v>
      </c>
      <c r="V15" s="2">
        <f t="shared" si="10"/>
        <v>1215.5313230918953</v>
      </c>
      <c r="W15" s="2">
        <f t="shared" si="11"/>
        <v>92344.774838595855</v>
      </c>
      <c r="X15" s="2">
        <f t="shared" si="12"/>
        <v>1.0088181001217147</v>
      </c>
      <c r="Y15" s="12">
        <f t="shared" si="13"/>
        <v>8.7410209240405701E-3</v>
      </c>
      <c r="Z15" s="2">
        <f t="shared" si="14"/>
        <v>75.306646147682656</v>
      </c>
      <c r="AA15" s="2">
        <f t="shared" si="15"/>
        <v>75.970707693243469</v>
      </c>
      <c r="AB15" s="2">
        <f t="shared" si="16"/>
        <v>1.0017574320242664</v>
      </c>
      <c r="AC15" s="2">
        <f t="shared" si="17"/>
        <v>4.8545161106904571</v>
      </c>
      <c r="AD15" s="2">
        <f t="shared" si="18"/>
        <v>0.99649437998923462</v>
      </c>
      <c r="AE15" s="2">
        <f t="shared" si="19"/>
        <v>4.2433426899637361E-2</v>
      </c>
      <c r="AF15" s="16"/>
    </row>
    <row r="16" spans="1:32" x14ac:dyDescent="0.3">
      <c r="A16" s="24" t="s">
        <v>51</v>
      </c>
      <c r="B16" s="1" t="s">
        <v>34</v>
      </c>
      <c r="C16" s="1">
        <v>1.06833240614731E-2</v>
      </c>
      <c r="D16" s="1">
        <v>0.76125716106970998</v>
      </c>
      <c r="F16" s="1">
        <v>9.81</v>
      </c>
      <c r="G16" s="2">
        <v>2500</v>
      </c>
      <c r="H16" s="18">
        <f t="shared" si="0"/>
        <v>0.05</v>
      </c>
      <c r="I16" s="2">
        <f t="shared" si="0"/>
        <v>0.05</v>
      </c>
      <c r="J16" s="2">
        <v>10</v>
      </c>
      <c r="K16" s="8">
        <v>1</v>
      </c>
      <c r="L16" s="2">
        <f t="shared" si="2"/>
        <v>13.10042613038139</v>
      </c>
      <c r="M16" s="4">
        <f t="shared" si="3"/>
        <v>1</v>
      </c>
      <c r="N16" s="2" t="s">
        <v>29</v>
      </c>
      <c r="O16" s="2" t="e">
        <f t="shared" si="4"/>
        <v>#VALUE!</v>
      </c>
      <c r="P16" s="2">
        <f t="shared" si="5"/>
        <v>0.23874283893029002</v>
      </c>
      <c r="Q16" s="2">
        <f t="shared" si="1"/>
        <v>6.0657478693480922</v>
      </c>
      <c r="R16" s="2">
        <f t="shared" si="6"/>
        <v>3.1773107716057672E-3</v>
      </c>
      <c r="S16" s="2">
        <f t="shared" si="7"/>
        <v>1909.0823357774823</v>
      </c>
      <c r="T16" s="5">
        <f t="shared" si="8"/>
        <v>8.2430066460005488E-3</v>
      </c>
      <c r="U16" s="5">
        <f t="shared" si="9"/>
        <v>1226.25</v>
      </c>
      <c r="V16" s="2">
        <f t="shared" si="10"/>
        <v>1213.1495738696183</v>
      </c>
      <c r="W16" s="2">
        <f t="shared" si="11"/>
        <v>91983.243036252301</v>
      </c>
      <c r="X16" s="2">
        <f t="shared" si="12"/>
        <v>1.0107986899658177</v>
      </c>
      <c r="Y16" s="12">
        <f t="shared" si="13"/>
        <v>1.06833240614731E-2</v>
      </c>
      <c r="Z16" s="2">
        <f t="shared" si="14"/>
        <v>75.011818989808191</v>
      </c>
      <c r="AA16" s="2">
        <f t="shared" si="15"/>
        <v>75.821848366851157</v>
      </c>
      <c r="AB16" s="2">
        <f t="shared" si="16"/>
        <v>1.0021504690477556</v>
      </c>
      <c r="AC16" s="2">
        <f t="shared" si="17"/>
        <v>4.5404392147984289</v>
      </c>
      <c r="AD16" s="2">
        <f t="shared" si="18"/>
        <v>0.99571289578299671</v>
      </c>
      <c r="AE16" s="2">
        <f t="shared" si="19"/>
        <v>4.8506983513112091E-2</v>
      </c>
      <c r="AF16" s="16"/>
    </row>
    <row r="17" spans="1:32" x14ac:dyDescent="0.3">
      <c r="A17" s="24" t="s">
        <v>51</v>
      </c>
      <c r="B17" s="1" t="s">
        <v>34</v>
      </c>
      <c r="C17" s="1">
        <v>1.5956519439026599E-2</v>
      </c>
      <c r="D17" s="1">
        <v>0.75674106166150301</v>
      </c>
      <c r="F17" s="1">
        <v>9.81</v>
      </c>
      <c r="G17" s="2">
        <v>2500</v>
      </c>
      <c r="H17" s="18">
        <f t="shared" si="0"/>
        <v>0.05</v>
      </c>
      <c r="I17" s="2">
        <f t="shared" si="0"/>
        <v>0.05</v>
      </c>
      <c r="J17" s="2">
        <v>10</v>
      </c>
      <c r="K17" s="8">
        <v>1</v>
      </c>
      <c r="L17" s="2">
        <f t="shared" si="2"/>
        <v>19.566681962106365</v>
      </c>
      <c r="M17" s="4">
        <f t="shared" si="3"/>
        <v>1</v>
      </c>
      <c r="N17" s="2" t="s">
        <v>29</v>
      </c>
      <c r="O17" s="2" t="e">
        <f t="shared" si="4"/>
        <v>#VALUE!</v>
      </c>
      <c r="P17" s="2">
        <f t="shared" si="5"/>
        <v>0.24325893833849699</v>
      </c>
      <c r="Q17" s="2">
        <f t="shared" si="1"/>
        <v>6.0334165901894696</v>
      </c>
      <c r="R17" s="2">
        <f t="shared" si="6"/>
        <v>6.2007749218677818E-3</v>
      </c>
      <c r="S17" s="2">
        <f t="shared" si="7"/>
        <v>973.01009409515848</v>
      </c>
      <c r="T17" s="5">
        <f t="shared" si="8"/>
        <v>8.2871784589351304E-3</v>
      </c>
      <c r="U17" s="5">
        <f t="shared" si="9"/>
        <v>1226.25</v>
      </c>
      <c r="V17" s="2">
        <f t="shared" si="10"/>
        <v>1206.683318037894</v>
      </c>
      <c r="W17" s="2">
        <f t="shared" si="11"/>
        <v>91005.289376933812</v>
      </c>
      <c r="X17" s="2">
        <f t="shared" si="12"/>
        <v>1.01621525852692</v>
      </c>
      <c r="Y17" s="12">
        <f t="shared" si="13"/>
        <v>1.5956519439026599E-2</v>
      </c>
      <c r="Z17" s="2">
        <f t="shared" si="14"/>
        <v>74.214303263554584</v>
      </c>
      <c r="AA17" s="2">
        <f t="shared" si="15"/>
        <v>75.417707377368359</v>
      </c>
      <c r="AB17" s="2">
        <f t="shared" si="16"/>
        <v>1.0032222192925218</v>
      </c>
      <c r="AC17" s="2">
        <f t="shared" si="17"/>
        <v>3.9721040048135694</v>
      </c>
      <c r="AD17" s="2">
        <f t="shared" si="18"/>
        <v>0.99358657622208113</v>
      </c>
      <c r="AE17" s="2">
        <f t="shared" si="19"/>
        <v>6.3380954766643127E-2</v>
      </c>
      <c r="AF17" s="16"/>
    </row>
    <row r="18" spans="1:32" x14ac:dyDescent="0.3">
      <c r="A18" s="24" t="s">
        <v>51</v>
      </c>
      <c r="B18" s="1" t="s">
        <v>34</v>
      </c>
      <c r="C18" s="1">
        <v>1.80009745499028E-2</v>
      </c>
      <c r="D18" s="1">
        <v>0.73003746309736295</v>
      </c>
      <c r="F18" s="1">
        <v>9.81</v>
      </c>
      <c r="G18" s="2">
        <v>2500</v>
      </c>
      <c r="H18" s="18">
        <f t="shared" si="0"/>
        <v>0.05</v>
      </c>
      <c r="I18" s="2">
        <f t="shared" si="0"/>
        <v>0.05</v>
      </c>
      <c r="J18" s="2">
        <v>10</v>
      </c>
      <c r="K18" s="8">
        <v>1</v>
      </c>
      <c r="L18" s="2">
        <f t="shared" si="2"/>
        <v>22.073695041818308</v>
      </c>
      <c r="M18" s="4">
        <f t="shared" si="3"/>
        <v>1</v>
      </c>
      <c r="N18" s="2" t="s">
        <v>29</v>
      </c>
      <c r="O18" s="2" t="e">
        <f t="shared" si="4"/>
        <v>#VALUE!</v>
      </c>
      <c r="P18" s="2">
        <f t="shared" si="5"/>
        <v>0.26996253690263705</v>
      </c>
      <c r="Q18" s="2">
        <f t="shared" si="1"/>
        <v>6.0208815247909087</v>
      </c>
      <c r="R18" s="2">
        <f t="shared" si="6"/>
        <v>7.5806955386665213E-3</v>
      </c>
      <c r="S18" s="2">
        <f t="shared" si="7"/>
        <v>794.23866768958897</v>
      </c>
      <c r="T18" s="5">
        <f t="shared" si="8"/>
        <v>8.3044318002481188E-3</v>
      </c>
      <c r="U18" s="5">
        <f t="shared" si="9"/>
        <v>1226.25</v>
      </c>
      <c r="V18" s="2">
        <f t="shared" si="10"/>
        <v>1204.1763049581818</v>
      </c>
      <c r="W18" s="2">
        <f t="shared" si="11"/>
        <v>90627.535838921249</v>
      </c>
      <c r="X18" s="2">
        <f t="shared" si="12"/>
        <v>1.0183309495054254</v>
      </c>
      <c r="Y18" s="12">
        <f t="shared" si="13"/>
        <v>1.80009745499028E-2</v>
      </c>
      <c r="Z18" s="2">
        <f t="shared" si="14"/>
        <v>73.906247371189608</v>
      </c>
      <c r="AA18" s="2">
        <f t="shared" si="15"/>
        <v>75.261019059886351</v>
      </c>
      <c r="AB18" s="2">
        <f t="shared" si="16"/>
        <v>1.0036395999249685</v>
      </c>
      <c r="AC18" s="2">
        <f t="shared" si="17"/>
        <v>3.8156452812957209</v>
      </c>
      <c r="AD18" s="2">
        <f t="shared" si="18"/>
        <v>0.99276034823588954</v>
      </c>
      <c r="AE18" s="2">
        <f t="shared" si="19"/>
        <v>6.868533360006103E-2</v>
      </c>
      <c r="AF18" s="16"/>
    </row>
    <row r="19" spans="1:32" x14ac:dyDescent="0.3">
      <c r="A19" s="24" t="s">
        <v>51</v>
      </c>
      <c r="B19" s="1" t="s">
        <v>34</v>
      </c>
      <c r="C19" s="1">
        <v>1.78597975298402E-2</v>
      </c>
      <c r="D19" s="1">
        <v>0.71143016116964797</v>
      </c>
      <c r="F19" s="1">
        <v>9.81</v>
      </c>
      <c r="G19" s="2">
        <v>2500</v>
      </c>
      <c r="H19" s="18">
        <f t="shared" si="0"/>
        <v>0.05</v>
      </c>
      <c r="I19" s="2">
        <f t="shared" si="0"/>
        <v>0.05</v>
      </c>
      <c r="J19" s="2">
        <v>10</v>
      </c>
      <c r="K19" s="8">
        <v>1</v>
      </c>
      <c r="L19" s="2">
        <f t="shared" si="2"/>
        <v>21.900576720966544</v>
      </c>
      <c r="M19" s="4">
        <f t="shared" si="3"/>
        <v>1</v>
      </c>
      <c r="N19" s="2" t="s">
        <v>29</v>
      </c>
      <c r="O19" s="2" t="e">
        <f t="shared" si="4"/>
        <v>#VALUE!</v>
      </c>
      <c r="P19" s="2">
        <f t="shared" si="5"/>
        <v>0.28856983883035203</v>
      </c>
      <c r="Q19" s="2">
        <f t="shared" si="1"/>
        <v>6.0217471163951677</v>
      </c>
      <c r="R19" s="2">
        <f t="shared" si="6"/>
        <v>7.4818657282287801E-3</v>
      </c>
      <c r="S19" s="2">
        <f t="shared" si="7"/>
        <v>804.84565416288569</v>
      </c>
      <c r="T19" s="5">
        <f t="shared" si="8"/>
        <v>8.303238085815165E-3</v>
      </c>
      <c r="U19" s="5">
        <f t="shared" si="9"/>
        <v>1226.25</v>
      </c>
      <c r="V19" s="2">
        <f t="shared" si="10"/>
        <v>1204.3494232790335</v>
      </c>
      <c r="W19" s="2">
        <f t="shared" si="11"/>
        <v>90653.595834533786</v>
      </c>
      <c r="X19" s="2">
        <f t="shared" si="12"/>
        <v>1.0181845702730845</v>
      </c>
      <c r="Y19" s="12">
        <f t="shared" si="13"/>
        <v>1.78597975298402E-2</v>
      </c>
      <c r="Z19" s="2">
        <f t="shared" si="14"/>
        <v>73.927499151505643</v>
      </c>
      <c r="AA19" s="2">
        <f t="shared" si="15"/>
        <v>75.271838954939597</v>
      </c>
      <c r="AB19" s="2">
        <f t="shared" si="16"/>
        <v>1.003610744778793</v>
      </c>
      <c r="AC19" s="2">
        <f t="shared" si="17"/>
        <v>3.8256727979679321</v>
      </c>
      <c r="AD19" s="2">
        <f t="shared" si="18"/>
        <v>0.9928174354221786</v>
      </c>
      <c r="AE19" s="2">
        <f t="shared" si="19"/>
        <v>6.8325741587124497E-2</v>
      </c>
      <c r="AF19" s="16"/>
    </row>
    <row r="20" spans="1:32" x14ac:dyDescent="0.3">
      <c r="A20" s="24" t="s">
        <v>51</v>
      </c>
      <c r="B20" s="1" t="s">
        <v>34</v>
      </c>
      <c r="C20" s="1">
        <v>2.1310029267288502E-2</v>
      </c>
      <c r="D20" s="1">
        <v>0.69637334528983197</v>
      </c>
      <c r="F20" s="1">
        <v>9.81</v>
      </c>
      <c r="G20" s="2">
        <v>2500</v>
      </c>
      <c r="H20" s="18">
        <f t="shared" ref="H20:I43" si="20">50/1000</f>
        <v>0.05</v>
      </c>
      <c r="I20" s="2">
        <f t="shared" si="20"/>
        <v>0.05</v>
      </c>
      <c r="J20" s="2">
        <v>10</v>
      </c>
      <c r="K20" s="8">
        <v>1</v>
      </c>
      <c r="L20" s="2">
        <f t="shared" si="2"/>
        <v>26.131423389012525</v>
      </c>
      <c r="M20" s="4">
        <f t="shared" si="3"/>
        <v>1</v>
      </c>
      <c r="N20" s="2" t="s">
        <v>29</v>
      </c>
      <c r="O20" s="2" t="e">
        <f t="shared" si="4"/>
        <v>#VALUE!</v>
      </c>
      <c r="P20" s="2">
        <f t="shared" si="5"/>
        <v>0.30362665471016803</v>
      </c>
      <c r="Q20" s="2">
        <f t="shared" si="1"/>
        <v>6.0005928830549378</v>
      </c>
      <c r="R20" s="2">
        <f t="shared" si="6"/>
        <v>1.0042822071004575E-2</v>
      </c>
      <c r="S20" s="2">
        <f t="shared" si="7"/>
        <v>597.50066670798867</v>
      </c>
      <c r="T20" s="5">
        <f t="shared" si="8"/>
        <v>8.3325099660060097E-3</v>
      </c>
      <c r="U20" s="5">
        <f t="shared" si="9"/>
        <v>1226.25</v>
      </c>
      <c r="V20" s="2">
        <f t="shared" si="10"/>
        <v>1200.1185766109875</v>
      </c>
      <c r="W20" s="2">
        <f t="shared" si="11"/>
        <v>90017.787370423917</v>
      </c>
      <c r="X20" s="2">
        <f t="shared" si="12"/>
        <v>1.021774034581487</v>
      </c>
      <c r="Y20" s="12">
        <f t="shared" si="13"/>
        <v>2.1310029267288502E-2</v>
      </c>
      <c r="Z20" s="2">
        <f t="shared" si="14"/>
        <v>73.40900091369943</v>
      </c>
      <c r="AA20" s="2">
        <f t="shared" si="15"/>
        <v>75.007411038186717</v>
      </c>
      <c r="AB20" s="2">
        <f t="shared" si="16"/>
        <v>1.0043173663163314</v>
      </c>
      <c r="AC20" s="2">
        <f t="shared" si="17"/>
        <v>3.6069377842376569</v>
      </c>
      <c r="AD20" s="2">
        <f t="shared" si="18"/>
        <v>0.99142086615447234</v>
      </c>
      <c r="AE20" s="2">
        <f t="shared" si="19"/>
        <v>7.6863949747393218E-2</v>
      </c>
      <c r="AF20" s="16"/>
    </row>
    <row r="21" spans="1:32" x14ac:dyDescent="0.3">
      <c r="A21" s="24" t="s">
        <v>51</v>
      </c>
      <c r="B21" s="1" t="s">
        <v>34</v>
      </c>
      <c r="C21" s="1">
        <v>2.5834461333759499E-2</v>
      </c>
      <c r="D21" s="1">
        <v>0.69876374479716696</v>
      </c>
      <c r="F21" s="1">
        <v>9.81</v>
      </c>
      <c r="G21" s="2">
        <v>2500</v>
      </c>
      <c r="H21" s="18">
        <f t="shared" si="20"/>
        <v>0.05</v>
      </c>
      <c r="I21" s="2">
        <f t="shared" si="20"/>
        <v>0.05</v>
      </c>
      <c r="J21" s="2">
        <v>10</v>
      </c>
      <c r="K21" s="8">
        <v>1</v>
      </c>
      <c r="L21" s="2">
        <f t="shared" si="2"/>
        <v>31.679508210522584</v>
      </c>
      <c r="M21" s="4">
        <f t="shared" si="3"/>
        <v>1</v>
      </c>
      <c r="N21" s="2" t="s">
        <v>29</v>
      </c>
      <c r="O21" s="2" t="e">
        <f t="shared" si="4"/>
        <v>#VALUE!</v>
      </c>
      <c r="P21" s="2">
        <f t="shared" si="5"/>
        <v>0.30123625520283304</v>
      </c>
      <c r="Q21" s="2">
        <f t="shared" si="1"/>
        <v>5.9728524589473881</v>
      </c>
      <c r="R21" s="2">
        <f t="shared" si="6"/>
        <v>1.3842505639611582E-2</v>
      </c>
      <c r="S21" s="2">
        <f t="shared" si="7"/>
        <v>431.48636630174315</v>
      </c>
      <c r="T21" s="5">
        <f t="shared" si="8"/>
        <v>8.3712096261643869E-3</v>
      </c>
      <c r="U21" s="5">
        <f t="shared" si="9"/>
        <v>1226.25</v>
      </c>
      <c r="V21" s="2">
        <f t="shared" si="10"/>
        <v>1194.5704917894775</v>
      </c>
      <c r="W21" s="2">
        <f t="shared" si="11"/>
        <v>89187.416240884661</v>
      </c>
      <c r="X21" s="2">
        <f t="shared" si="12"/>
        <v>1.026519580408408</v>
      </c>
      <c r="Y21" s="12">
        <f t="shared" si="13"/>
        <v>2.5834461333759499E-2</v>
      </c>
      <c r="Z21" s="2">
        <f t="shared" si="14"/>
        <v>72.731837913055784</v>
      </c>
      <c r="AA21" s="2">
        <f t="shared" si="15"/>
        <v>74.660655736842372</v>
      </c>
      <c r="AB21" s="2">
        <f t="shared" si="16"/>
        <v>1.0052485319825546</v>
      </c>
      <c r="AC21" s="2">
        <f t="shared" si="17"/>
        <v>3.3827263244712675</v>
      </c>
      <c r="AD21" s="2">
        <f t="shared" si="18"/>
        <v>0.9895850027421762</v>
      </c>
      <c r="AE21" s="2">
        <f t="shared" si="19"/>
        <v>8.7390912432243367E-2</v>
      </c>
      <c r="AF21" s="16"/>
    </row>
    <row r="22" spans="1:32" x14ac:dyDescent="0.3">
      <c r="A22" s="24" t="s">
        <v>51</v>
      </c>
      <c r="B22" s="1" t="s">
        <v>34</v>
      </c>
      <c r="C22" s="1">
        <v>2.6897387511426899E-2</v>
      </c>
      <c r="D22" s="1">
        <v>0.67319592362605996</v>
      </c>
      <c r="F22" s="1">
        <v>9.81</v>
      </c>
      <c r="G22" s="2">
        <v>2500</v>
      </c>
      <c r="H22" s="18">
        <f t="shared" si="20"/>
        <v>0.05</v>
      </c>
      <c r="I22" s="2">
        <f t="shared" si="20"/>
        <v>0.05</v>
      </c>
      <c r="J22" s="2">
        <v>10</v>
      </c>
      <c r="K22" s="8">
        <v>1</v>
      </c>
      <c r="L22" s="2">
        <f t="shared" si="2"/>
        <v>32.982921435887235</v>
      </c>
      <c r="M22" s="4">
        <f t="shared" si="3"/>
        <v>1</v>
      </c>
      <c r="N22" s="2" t="s">
        <v>29</v>
      </c>
      <c r="O22" s="2" t="e">
        <f t="shared" si="4"/>
        <v>#VALUE!</v>
      </c>
      <c r="P22" s="2">
        <f t="shared" si="5"/>
        <v>0.32680407637394004</v>
      </c>
      <c r="Q22" s="2">
        <f t="shared" si="1"/>
        <v>5.9663353928205645</v>
      </c>
      <c r="R22" s="2">
        <f t="shared" si="6"/>
        <v>1.4804685679149112E-2</v>
      </c>
      <c r="S22" s="2">
        <f t="shared" si="7"/>
        <v>403.00317900187093</v>
      </c>
      <c r="T22" s="5">
        <f t="shared" si="8"/>
        <v>8.3803535517239305E-3</v>
      </c>
      <c r="U22" s="5">
        <f t="shared" si="9"/>
        <v>1226.25</v>
      </c>
      <c r="V22" s="2">
        <f t="shared" si="10"/>
        <v>1193.2670785641128</v>
      </c>
      <c r="W22" s="2">
        <f t="shared" si="11"/>
        <v>88992.895049058294</v>
      </c>
      <c r="X22" s="2">
        <f t="shared" si="12"/>
        <v>1.027640854280147</v>
      </c>
      <c r="Y22" s="12">
        <f t="shared" si="13"/>
        <v>2.6897387511426899E-2</v>
      </c>
      <c r="Z22" s="2">
        <f t="shared" si="14"/>
        <v>72.573206971709112</v>
      </c>
      <c r="AA22" s="2">
        <f t="shared" si="15"/>
        <v>74.57919241025705</v>
      </c>
      <c r="AB22" s="2">
        <f t="shared" si="16"/>
        <v>1.0054680439677899</v>
      </c>
      <c r="AC22" s="2">
        <f t="shared" si="17"/>
        <v>3.3375668001145193</v>
      </c>
      <c r="AD22" s="2">
        <f t="shared" si="18"/>
        <v>0.98915296105245099</v>
      </c>
      <c r="AE22" s="2">
        <f t="shared" si="19"/>
        <v>8.9771827567953308E-2</v>
      </c>
      <c r="AF22" s="16"/>
    </row>
    <row r="23" spans="1:32" x14ac:dyDescent="0.3">
      <c r="A23" s="24" t="s">
        <v>51</v>
      </c>
      <c r="B23" s="1" t="s">
        <v>34</v>
      </c>
      <c r="C23" s="1">
        <v>2.5631130941815999E-2</v>
      </c>
      <c r="D23" s="1">
        <v>0.68364480554032403</v>
      </c>
      <c r="F23" s="1">
        <v>9.81</v>
      </c>
      <c r="G23" s="2">
        <v>2500</v>
      </c>
      <c r="H23" s="18">
        <f t="shared" si="20"/>
        <v>0.05</v>
      </c>
      <c r="I23" s="2">
        <f t="shared" si="20"/>
        <v>0.05</v>
      </c>
      <c r="J23" s="2">
        <v>10</v>
      </c>
      <c r="K23" s="8">
        <v>1</v>
      </c>
      <c r="L23" s="2">
        <f t="shared" si="2"/>
        <v>31.430174317401868</v>
      </c>
      <c r="M23" s="4">
        <f t="shared" si="3"/>
        <v>1</v>
      </c>
      <c r="N23" s="2" t="s">
        <v>29</v>
      </c>
      <c r="O23" s="2" t="e">
        <f t="shared" si="4"/>
        <v>#VALUE!</v>
      </c>
      <c r="P23" s="2">
        <f t="shared" si="5"/>
        <v>0.31635519445967597</v>
      </c>
      <c r="Q23" s="2">
        <f t="shared" si="1"/>
        <v>5.9740991284129903</v>
      </c>
      <c r="R23" s="2">
        <f t="shared" si="6"/>
        <v>1.3661403127718496E-2</v>
      </c>
      <c r="S23" s="2">
        <f t="shared" si="7"/>
        <v>437.29762401138413</v>
      </c>
      <c r="T23" s="5">
        <f t="shared" si="8"/>
        <v>8.3694627299032466E-3</v>
      </c>
      <c r="U23" s="5">
        <f t="shared" si="9"/>
        <v>1226.25</v>
      </c>
      <c r="V23" s="2">
        <f t="shared" si="10"/>
        <v>1194.8198256825979</v>
      </c>
      <c r="W23" s="2">
        <f t="shared" si="11"/>
        <v>89224.650990262118</v>
      </c>
      <c r="X23" s="2">
        <f t="shared" si="12"/>
        <v>1.026305367254386</v>
      </c>
      <c r="Y23" s="12">
        <f t="shared" si="13"/>
        <v>2.5631130941815999E-2</v>
      </c>
      <c r="Z23" s="2">
        <f t="shared" si="14"/>
        <v>72.762202642415588</v>
      </c>
      <c r="AA23" s="2">
        <f t="shared" si="15"/>
        <v>74.676239105162381</v>
      </c>
      <c r="AB23" s="2">
        <f t="shared" si="16"/>
        <v>1.0052065736138023</v>
      </c>
      <c r="AC23" s="2">
        <f t="shared" si="17"/>
        <v>3.3916477704929426</v>
      </c>
      <c r="AD23" s="2">
        <f t="shared" si="18"/>
        <v>0.98966761708259021</v>
      </c>
      <c r="AE23" s="2">
        <f t="shared" si="19"/>
        <v>8.6931768114022923E-2</v>
      </c>
      <c r="AF23" s="16"/>
    </row>
    <row r="24" spans="1:32" x14ac:dyDescent="0.3">
      <c r="A24" s="24" t="s">
        <v>51</v>
      </c>
      <c r="B24" s="1" t="s">
        <v>34</v>
      </c>
      <c r="C24" s="1">
        <v>2.7554941736596401E-2</v>
      </c>
      <c r="D24" s="1">
        <v>0.66273893866261802</v>
      </c>
      <c r="F24" s="1">
        <v>9.81</v>
      </c>
      <c r="G24" s="2">
        <v>2500</v>
      </c>
      <c r="H24" s="18">
        <f t="shared" si="20"/>
        <v>0.05</v>
      </c>
      <c r="I24" s="2">
        <f t="shared" si="20"/>
        <v>0.05</v>
      </c>
      <c r="J24" s="2">
        <v>10</v>
      </c>
      <c r="K24" s="8">
        <v>1</v>
      </c>
      <c r="L24" s="2">
        <f t="shared" si="2"/>
        <v>33.789247304501338</v>
      </c>
      <c r="M24" s="4">
        <f t="shared" si="3"/>
        <v>1</v>
      </c>
      <c r="N24" s="2" t="s">
        <v>29</v>
      </c>
      <c r="O24" s="2" t="e">
        <f t="shared" si="4"/>
        <v>#VALUE!</v>
      </c>
      <c r="P24" s="2">
        <f t="shared" si="5"/>
        <v>0.33726106133738198</v>
      </c>
      <c r="Q24" s="2">
        <f t="shared" si="1"/>
        <v>5.962303763477494</v>
      </c>
      <c r="R24" s="2">
        <f t="shared" si="6"/>
        <v>1.5412799180192062E-2</v>
      </c>
      <c r="S24" s="2">
        <f t="shared" si="7"/>
        <v>386.84107239520893</v>
      </c>
      <c r="T24" s="5">
        <f t="shared" si="8"/>
        <v>8.3860202337020257E-3</v>
      </c>
      <c r="U24" s="5">
        <f t="shared" si="9"/>
        <v>1226.25</v>
      </c>
      <c r="V24" s="2">
        <f t="shared" si="10"/>
        <v>1192.4607526954987</v>
      </c>
      <c r="W24" s="2">
        <f t="shared" si="11"/>
        <v>88872.665419944722</v>
      </c>
      <c r="X24" s="2">
        <f t="shared" si="12"/>
        <v>1.0283357311577108</v>
      </c>
      <c r="Y24" s="12">
        <f t="shared" si="13"/>
        <v>2.7554941736596401E-2</v>
      </c>
      <c r="Z24" s="2">
        <f t="shared" si="14"/>
        <v>72.475160383237281</v>
      </c>
      <c r="AA24" s="2">
        <f t="shared" si="15"/>
        <v>74.528797043468686</v>
      </c>
      <c r="AB24" s="2">
        <f t="shared" si="16"/>
        <v>1.0056039839889284</v>
      </c>
      <c r="AC24" s="2">
        <f t="shared" si="17"/>
        <v>3.3108042267931301</v>
      </c>
      <c r="AD24" s="2">
        <f t="shared" si="18"/>
        <v>0.98888554686577579</v>
      </c>
      <c r="AE24" s="2">
        <f t="shared" si="19"/>
        <v>9.1229017570561816E-2</v>
      </c>
      <c r="AF24" s="16"/>
    </row>
    <row r="25" spans="1:32" x14ac:dyDescent="0.3">
      <c r="A25" s="24" t="s">
        <v>51</v>
      </c>
      <c r="B25" s="1" t="s">
        <v>34</v>
      </c>
      <c r="C25" s="1">
        <v>2.6902406483499699E-2</v>
      </c>
      <c r="D25" s="1">
        <v>0.64994017248690605</v>
      </c>
      <c r="F25" s="1">
        <v>9.81</v>
      </c>
      <c r="G25" s="2">
        <v>2500</v>
      </c>
      <c r="H25" s="18">
        <f t="shared" si="20"/>
        <v>0.05</v>
      </c>
      <c r="I25" s="2">
        <f t="shared" si="20"/>
        <v>0.05</v>
      </c>
      <c r="J25" s="2">
        <v>10</v>
      </c>
      <c r="K25" s="8">
        <v>1</v>
      </c>
      <c r="L25" s="2">
        <f t="shared" si="2"/>
        <v>32.989075950391509</v>
      </c>
      <c r="M25" s="4">
        <f t="shared" si="3"/>
        <v>1</v>
      </c>
      <c r="N25" s="2" t="s">
        <v>29</v>
      </c>
      <c r="O25" s="2" t="e">
        <f t="shared" si="4"/>
        <v>#VALUE!</v>
      </c>
      <c r="P25" s="2">
        <f t="shared" si="5"/>
        <v>0.35005982751309395</v>
      </c>
      <c r="Q25" s="2">
        <f t="shared" si="1"/>
        <v>5.9663046202480432</v>
      </c>
      <c r="R25" s="2">
        <f t="shared" si="6"/>
        <v>1.4809290148975817E-2</v>
      </c>
      <c r="S25" s="2">
        <f t="shared" si="7"/>
        <v>402.87580027329409</v>
      </c>
      <c r="T25" s="5">
        <f t="shared" si="8"/>
        <v>8.3803967753026502E-3</v>
      </c>
      <c r="U25" s="5">
        <f t="shared" si="9"/>
        <v>1226.25</v>
      </c>
      <c r="V25" s="2">
        <f t="shared" si="10"/>
        <v>1193.2609240496085</v>
      </c>
      <c r="W25" s="2">
        <f t="shared" si="11"/>
        <v>88991.977053982861</v>
      </c>
      <c r="X25" s="2">
        <f t="shared" si="12"/>
        <v>1.0276461545714874</v>
      </c>
      <c r="Y25" s="12">
        <f t="shared" si="13"/>
        <v>2.6902406483499702E-2</v>
      </c>
      <c r="Z25" s="2">
        <f t="shared" si="14"/>
        <v>72.572458351871859</v>
      </c>
      <c r="AA25" s="2">
        <f t="shared" si="15"/>
        <v>74.578807753100534</v>
      </c>
      <c r="AB25" s="2">
        <f t="shared" si="16"/>
        <v>1.0054690811516562</v>
      </c>
      <c r="AC25" s="2">
        <f t="shared" si="17"/>
        <v>3.3373592326070067</v>
      </c>
      <c r="AD25" s="2">
        <f t="shared" si="18"/>
        <v>0.98915092034730645</v>
      </c>
      <c r="AE25" s="2">
        <f t="shared" si="19"/>
        <v>8.978299465705436E-2</v>
      </c>
      <c r="AF25" s="16"/>
    </row>
    <row r="26" spans="1:32" x14ac:dyDescent="0.3">
      <c r="A26" s="24" t="s">
        <v>51</v>
      </c>
      <c r="B26" s="1" t="s">
        <v>34</v>
      </c>
      <c r="C26" s="1">
        <v>3.0096695656806099E-2</v>
      </c>
      <c r="D26" s="1">
        <v>0.665094224956851</v>
      </c>
      <c r="F26" s="1">
        <v>9.81</v>
      </c>
      <c r="G26" s="2">
        <v>2500</v>
      </c>
      <c r="H26" s="18">
        <f t="shared" si="20"/>
        <v>0.05</v>
      </c>
      <c r="I26" s="2">
        <f t="shared" si="20"/>
        <v>0.05</v>
      </c>
      <c r="J26" s="2">
        <v>10</v>
      </c>
      <c r="K26" s="8">
        <v>1</v>
      </c>
      <c r="L26" s="2">
        <f t="shared" si="2"/>
        <v>36.906073049158479</v>
      </c>
      <c r="M26" s="4">
        <f t="shared" si="3"/>
        <v>1</v>
      </c>
      <c r="N26" s="2" t="s">
        <v>29</v>
      </c>
      <c r="O26" s="2" t="e">
        <f t="shared" si="4"/>
        <v>#VALUE!</v>
      </c>
      <c r="P26" s="2">
        <f t="shared" si="5"/>
        <v>0.334905775043149</v>
      </c>
      <c r="Q26" s="2">
        <f t="shared" si="1"/>
        <v>5.9467196347542082</v>
      </c>
      <c r="R26" s="2">
        <f t="shared" si="6"/>
        <v>1.7854473679949984E-2</v>
      </c>
      <c r="S26" s="2">
        <f t="shared" si="7"/>
        <v>333.06608424039899</v>
      </c>
      <c r="T26" s="5">
        <f t="shared" si="8"/>
        <v>8.407996857256685E-3</v>
      </c>
      <c r="U26" s="5">
        <f t="shared" si="9"/>
        <v>1226.25</v>
      </c>
      <c r="V26" s="2">
        <f t="shared" si="10"/>
        <v>1189.3439269508415</v>
      </c>
      <c r="W26" s="2">
        <f t="shared" si="11"/>
        <v>88408.686035928069</v>
      </c>
      <c r="X26" s="2">
        <f t="shared" si="12"/>
        <v>1.031030614621101</v>
      </c>
      <c r="Y26" s="12">
        <f t="shared" si="13"/>
        <v>3.0096695656806099E-2</v>
      </c>
      <c r="Z26" s="2">
        <f t="shared" si="14"/>
        <v>72.096787796883234</v>
      </c>
      <c r="AA26" s="2">
        <f t="shared" si="15"/>
        <v>74.333995434427621</v>
      </c>
      <c r="AB26" s="2">
        <f t="shared" si="16"/>
        <v>1.0061304947733223</v>
      </c>
      <c r="AC26" s="2">
        <f t="shared" si="17"/>
        <v>3.2148476330026896</v>
      </c>
      <c r="AD26" s="2">
        <f t="shared" si="18"/>
        <v>0.98785084475395268</v>
      </c>
      <c r="AE26" s="2">
        <f t="shared" si="19"/>
        <v>9.6756290793485439E-2</v>
      </c>
      <c r="AF26" s="16"/>
    </row>
    <row r="27" spans="1:32" x14ac:dyDescent="0.3">
      <c r="A27" s="24" t="s">
        <v>51</v>
      </c>
      <c r="B27" s="1" t="s">
        <v>34</v>
      </c>
      <c r="C27" s="1">
        <v>3.36778020125129E-2</v>
      </c>
      <c r="D27" s="1">
        <v>0.65234137605981102</v>
      </c>
      <c r="F27" s="1">
        <v>9.81</v>
      </c>
      <c r="G27" s="2">
        <v>2500</v>
      </c>
      <c r="H27" s="18">
        <f t="shared" si="20"/>
        <v>0.05</v>
      </c>
      <c r="I27" s="2">
        <f t="shared" si="20"/>
        <v>0.05</v>
      </c>
      <c r="J27" s="2">
        <v>10</v>
      </c>
      <c r="K27" s="8">
        <v>1</v>
      </c>
      <c r="L27" s="2">
        <f t="shared" si="2"/>
        <v>41.297404717843946</v>
      </c>
      <c r="M27" s="4">
        <f t="shared" si="3"/>
        <v>1</v>
      </c>
      <c r="N27" s="2" t="s">
        <v>29</v>
      </c>
      <c r="O27" s="2" t="e">
        <f t="shared" si="4"/>
        <v>#VALUE!</v>
      </c>
      <c r="P27" s="2">
        <f t="shared" si="5"/>
        <v>0.34765862394018898</v>
      </c>
      <c r="Q27" s="2">
        <f t="shared" si="1"/>
        <v>5.924762976410781</v>
      </c>
      <c r="R27" s="2">
        <f t="shared" si="6"/>
        <v>2.1533861913788151E-2</v>
      </c>
      <c r="S27" s="2">
        <f t="shared" si="7"/>
        <v>275.13703766332549</v>
      </c>
      <c r="T27" s="5">
        <f t="shared" si="8"/>
        <v>8.4391561652462904E-3</v>
      </c>
      <c r="U27" s="5">
        <f t="shared" si="9"/>
        <v>1226.25</v>
      </c>
      <c r="V27" s="2">
        <f t="shared" si="10"/>
        <v>1184.9525952821562</v>
      </c>
      <c r="W27" s="2">
        <f t="shared" si="11"/>
        <v>87757.040816619847</v>
      </c>
      <c r="X27" s="2">
        <f t="shared" si="12"/>
        <v>1.0348515247633263</v>
      </c>
      <c r="Y27" s="12">
        <f t="shared" si="13"/>
        <v>3.36778020125129E-2</v>
      </c>
      <c r="Z27" s="2">
        <f t="shared" si="14"/>
        <v>71.56537477400191</v>
      </c>
      <c r="AA27" s="2">
        <f t="shared" si="15"/>
        <v>74.059537205134774</v>
      </c>
      <c r="AB27" s="2">
        <f t="shared" si="16"/>
        <v>1.0068751182768714</v>
      </c>
      <c r="AC27" s="2">
        <f t="shared" si="17"/>
        <v>3.0966022155633199</v>
      </c>
      <c r="AD27" s="2">
        <f t="shared" si="18"/>
        <v>0.98639027640798316</v>
      </c>
      <c r="AE27" s="2">
        <f t="shared" si="19"/>
        <v>0.10428675632725029</v>
      </c>
      <c r="AF27" s="16"/>
    </row>
    <row r="28" spans="1:32" x14ac:dyDescent="0.3">
      <c r="A28" s="24" t="s">
        <v>51</v>
      </c>
      <c r="B28" s="1" t="s">
        <v>34</v>
      </c>
      <c r="C28" s="1">
        <v>3.2887325584131197E-2</v>
      </c>
      <c r="D28" s="1">
        <v>0.612798496074072</v>
      </c>
      <c r="F28" s="1">
        <v>9.81</v>
      </c>
      <c r="G28" s="2">
        <v>2500</v>
      </c>
      <c r="H28" s="18">
        <f t="shared" si="20"/>
        <v>0.05</v>
      </c>
      <c r="I28" s="2">
        <f t="shared" si="20"/>
        <v>0.05</v>
      </c>
      <c r="J28" s="2">
        <v>10</v>
      </c>
      <c r="K28" s="8">
        <v>1</v>
      </c>
      <c r="L28" s="2">
        <f t="shared" si="2"/>
        <v>40.328082997540882</v>
      </c>
      <c r="M28" s="4">
        <f t="shared" si="3"/>
        <v>1</v>
      </c>
      <c r="N28" s="2" t="s">
        <v>29</v>
      </c>
      <c r="O28" s="2" t="e">
        <f t="shared" si="4"/>
        <v>#VALUE!</v>
      </c>
      <c r="P28" s="2">
        <f t="shared" si="5"/>
        <v>0.387201503925928</v>
      </c>
      <c r="Q28" s="2">
        <f t="shared" si="1"/>
        <v>5.9296095850122956</v>
      </c>
      <c r="R28" s="2">
        <f t="shared" si="6"/>
        <v>2.0698074913154334E-2</v>
      </c>
      <c r="S28" s="2">
        <f t="shared" si="7"/>
        <v>286.48121189492008</v>
      </c>
      <c r="T28" s="5">
        <f t="shared" si="8"/>
        <v>8.4322583608843656E-3</v>
      </c>
      <c r="U28" s="5">
        <f t="shared" si="9"/>
        <v>1226.25</v>
      </c>
      <c r="V28" s="2">
        <f t="shared" si="10"/>
        <v>1185.9219170024589</v>
      </c>
      <c r="W28" s="2">
        <f t="shared" si="11"/>
        <v>87900.674576674224</v>
      </c>
      <c r="X28" s="2">
        <f t="shared" si="12"/>
        <v>1.0340056815034455</v>
      </c>
      <c r="Y28" s="12">
        <f t="shared" si="13"/>
        <v>3.2887325584131197E-2</v>
      </c>
      <c r="Z28" s="2">
        <f t="shared" si="14"/>
        <v>71.682507300040143</v>
      </c>
      <c r="AA28" s="2">
        <f t="shared" si="15"/>
        <v>74.120119812653712</v>
      </c>
      <c r="AB28" s="2">
        <f t="shared" si="16"/>
        <v>1.006710469128226</v>
      </c>
      <c r="AC28" s="2">
        <f t="shared" si="17"/>
        <v>3.1212159246709725</v>
      </c>
      <c r="AD28" s="2">
        <f t="shared" si="18"/>
        <v>0.98671295428865857</v>
      </c>
      <c r="AE28" s="2">
        <f t="shared" si="19"/>
        <v>0.10264844433302943</v>
      </c>
      <c r="AF28" s="16"/>
    </row>
    <row r="29" spans="1:32" x14ac:dyDescent="0.3">
      <c r="A29" s="24" t="s">
        <v>51</v>
      </c>
      <c r="B29" s="1" t="s">
        <v>34</v>
      </c>
      <c r="C29" s="1">
        <v>4.7177777454285398E-2</v>
      </c>
      <c r="D29" s="1">
        <v>0.63733858050784498</v>
      </c>
      <c r="F29" s="1">
        <v>9.81</v>
      </c>
      <c r="G29" s="2">
        <v>2500</v>
      </c>
      <c r="H29" s="18">
        <f t="shared" si="20"/>
        <v>0.05</v>
      </c>
      <c r="I29" s="2">
        <f t="shared" si="20"/>
        <v>0.05</v>
      </c>
      <c r="J29" s="2">
        <v>10</v>
      </c>
      <c r="K29" s="8">
        <v>1</v>
      </c>
      <c r="L29" s="2">
        <f t="shared" si="2"/>
        <v>57.851749603317472</v>
      </c>
      <c r="M29" s="4">
        <f t="shared" si="3"/>
        <v>1</v>
      </c>
      <c r="N29" s="2" t="s">
        <v>29</v>
      </c>
      <c r="O29" s="2" t="e">
        <f t="shared" si="4"/>
        <v>#VALUE!</v>
      </c>
      <c r="P29" s="2">
        <f t="shared" si="5"/>
        <v>0.36266141949215502</v>
      </c>
      <c r="Q29" s="2">
        <f t="shared" si="1"/>
        <v>5.841991251983413</v>
      </c>
      <c r="R29" s="2">
        <f t="shared" si="6"/>
        <v>3.7766912935255172E-2</v>
      </c>
      <c r="S29" s="2">
        <f t="shared" si="7"/>
        <v>154.68543224590516</v>
      </c>
      <c r="T29" s="5">
        <f t="shared" si="8"/>
        <v>8.558725585736629E-3</v>
      </c>
      <c r="U29" s="5">
        <f t="shared" si="9"/>
        <v>1226.25</v>
      </c>
      <c r="V29" s="2">
        <f t="shared" si="10"/>
        <v>1168.3982503966827</v>
      </c>
      <c r="W29" s="2">
        <f t="shared" si="11"/>
        <v>85322.154470626803</v>
      </c>
      <c r="X29" s="2">
        <f t="shared" si="12"/>
        <v>1.0495137249509541</v>
      </c>
      <c r="Y29" s="12">
        <f t="shared" si="13"/>
        <v>4.7177777454285398E-2</v>
      </c>
      <c r="Z29" s="2">
        <f t="shared" si="14"/>
        <v>69.579738610093216</v>
      </c>
      <c r="AA29" s="2">
        <f t="shared" si="15"/>
        <v>73.024890649792653</v>
      </c>
      <c r="AB29" s="2">
        <f t="shared" si="16"/>
        <v>1.0097122482727809</v>
      </c>
      <c r="AC29" s="2">
        <f t="shared" si="17"/>
        <v>2.7674992224286568</v>
      </c>
      <c r="AD29" s="2">
        <f t="shared" si="18"/>
        <v>0.98085486619117179</v>
      </c>
      <c r="AE29" s="2">
        <f t="shared" si="19"/>
        <v>0.13056446242064706</v>
      </c>
      <c r="AF29" s="16"/>
    </row>
    <row r="30" spans="1:32" x14ac:dyDescent="0.3">
      <c r="A30" s="24" t="s">
        <v>51</v>
      </c>
      <c r="B30" s="1" t="s">
        <v>34</v>
      </c>
      <c r="C30" s="1">
        <v>6.5573435055785306E-2</v>
      </c>
      <c r="D30" s="1">
        <v>0.59907733280033204</v>
      </c>
      <c r="F30" s="1">
        <v>9.81</v>
      </c>
      <c r="G30" s="2">
        <v>2500</v>
      </c>
      <c r="H30" s="18">
        <f t="shared" si="20"/>
        <v>0.05</v>
      </c>
      <c r="I30" s="2">
        <f t="shared" si="20"/>
        <v>0.05</v>
      </c>
      <c r="J30" s="2">
        <v>10</v>
      </c>
      <c r="K30" s="8">
        <v>1</v>
      </c>
      <c r="L30" s="2">
        <f t="shared" si="2"/>
        <v>80.409424737156726</v>
      </c>
      <c r="M30" s="4">
        <f t="shared" si="3"/>
        <v>1</v>
      </c>
      <c r="N30" s="2" t="s">
        <v>29</v>
      </c>
      <c r="O30" s="2" t="e">
        <f t="shared" si="4"/>
        <v>#VALUE!</v>
      </c>
      <c r="P30" s="2">
        <f t="shared" si="5"/>
        <v>0.40092266719966796</v>
      </c>
      <c r="Q30" s="2">
        <f t="shared" si="1"/>
        <v>5.7292028763142167</v>
      </c>
      <c r="R30" s="2">
        <f t="shared" si="6"/>
        <v>6.5377591308394517E-2</v>
      </c>
      <c r="S30" s="2">
        <f t="shared" si="7"/>
        <v>87.632516916825963</v>
      </c>
      <c r="T30" s="5">
        <f t="shared" si="8"/>
        <v>8.7272175692557491E-3</v>
      </c>
      <c r="U30" s="5">
        <f t="shared" si="9"/>
        <v>1226.25</v>
      </c>
      <c r="V30" s="2">
        <f t="shared" si="10"/>
        <v>1145.8405752628432</v>
      </c>
      <c r="W30" s="2">
        <f t="shared" si="11"/>
        <v>82059.413994917733</v>
      </c>
      <c r="X30" s="2">
        <f t="shared" si="12"/>
        <v>1.0701750544299862</v>
      </c>
      <c r="Y30" s="12">
        <f t="shared" si="13"/>
        <v>6.5573435055785306E-2</v>
      </c>
      <c r="Z30" s="2">
        <f t="shared" si="14"/>
        <v>66.918992044785099</v>
      </c>
      <c r="AA30" s="2">
        <f t="shared" si="15"/>
        <v>71.615035953927716</v>
      </c>
      <c r="AB30" s="2">
        <f t="shared" si="16"/>
        <v>1.0136568619680775</v>
      </c>
      <c r="AC30" s="2">
        <f t="shared" si="17"/>
        <v>2.4798420603891187</v>
      </c>
      <c r="AD30" s="2">
        <f t="shared" si="18"/>
        <v>0.97323578826559942</v>
      </c>
      <c r="AE30" s="2">
        <f t="shared" si="19"/>
        <v>0.16261176229553076</v>
      </c>
      <c r="AF30" s="16"/>
    </row>
    <row r="31" spans="1:32" x14ac:dyDescent="0.3">
      <c r="A31" s="24" t="s">
        <v>51</v>
      </c>
      <c r="B31" s="1" t="s">
        <v>34</v>
      </c>
      <c r="C31" s="1">
        <v>5.4531764590455403E-2</v>
      </c>
      <c r="D31" s="1">
        <v>0.58157339606893999</v>
      </c>
      <c r="F31" s="1">
        <v>9.81</v>
      </c>
      <c r="G31" s="2">
        <v>2500</v>
      </c>
      <c r="H31" s="18">
        <f t="shared" si="20"/>
        <v>0.05</v>
      </c>
      <c r="I31" s="2">
        <f t="shared" si="20"/>
        <v>0.05</v>
      </c>
      <c r="J31" s="2">
        <v>10</v>
      </c>
      <c r="K31" s="8">
        <v>1</v>
      </c>
      <c r="L31" s="2">
        <f t="shared" si="2"/>
        <v>66.869576329045941</v>
      </c>
      <c r="M31" s="4">
        <f t="shared" si="3"/>
        <v>1</v>
      </c>
      <c r="N31" s="2" t="s">
        <v>29</v>
      </c>
      <c r="O31" s="2" t="e">
        <f t="shared" si="4"/>
        <v>#VALUE!</v>
      </c>
      <c r="P31" s="2">
        <f t="shared" si="5"/>
        <v>0.41842660393106001</v>
      </c>
      <c r="Q31" s="2">
        <f t="shared" si="1"/>
        <v>5.7969021183547706</v>
      </c>
      <c r="R31" s="2">
        <f t="shared" si="6"/>
        <v>4.8080053631504874E-2</v>
      </c>
      <c r="S31" s="2">
        <f t="shared" si="7"/>
        <v>120.56771323059216</v>
      </c>
      <c r="T31" s="5">
        <f t="shared" si="8"/>
        <v>8.6252965772329777E-3</v>
      </c>
      <c r="U31" s="5">
        <f t="shared" si="9"/>
        <v>1226.25</v>
      </c>
      <c r="V31" s="2">
        <f t="shared" si="10"/>
        <v>1159.3804236709541</v>
      </c>
      <c r="W31" s="2">
        <f t="shared" si="11"/>
        <v>84010.185424465075</v>
      </c>
      <c r="X31" s="2">
        <f t="shared" si="12"/>
        <v>1.0576769927831939</v>
      </c>
      <c r="Y31" s="12">
        <f t="shared" si="13"/>
        <v>5.4531764590455403E-2</v>
      </c>
      <c r="Z31" s="2">
        <f t="shared" si="14"/>
        <v>68.509835208534213</v>
      </c>
      <c r="AA31" s="2">
        <f t="shared" si="15"/>
        <v>72.461276479434645</v>
      </c>
      <c r="AB31" s="2">
        <f t="shared" si="16"/>
        <v>1.0112781212396842</v>
      </c>
      <c r="AC31" s="2">
        <f t="shared" si="17"/>
        <v>2.6370405999694175</v>
      </c>
      <c r="AD31" s="2">
        <f t="shared" si="18"/>
        <v>0.97781968726179957</v>
      </c>
      <c r="AE31" s="2">
        <f t="shared" si="19"/>
        <v>0.14380247721300557</v>
      </c>
      <c r="AF31" s="16"/>
    </row>
    <row r="32" spans="1:32" x14ac:dyDescent="0.3">
      <c r="A32" s="24" t="s">
        <v>51</v>
      </c>
      <c r="B32" s="1" t="s">
        <v>34</v>
      </c>
      <c r="C32" s="1">
        <v>4.9930123913637499E-2</v>
      </c>
      <c r="D32" s="1">
        <v>0.56991580931904595</v>
      </c>
      <c r="F32" s="1">
        <v>9.81</v>
      </c>
      <c r="G32" s="2">
        <v>2500</v>
      </c>
      <c r="H32" s="18">
        <f t="shared" si="20"/>
        <v>0.05</v>
      </c>
      <c r="I32" s="2">
        <f t="shared" si="20"/>
        <v>0.05</v>
      </c>
      <c r="J32" s="2">
        <v>10</v>
      </c>
      <c r="K32" s="8">
        <v>1</v>
      </c>
      <c r="L32" s="2">
        <f t="shared" si="2"/>
        <v>61.226814449097986</v>
      </c>
      <c r="M32" s="4">
        <f t="shared" si="3"/>
        <v>1</v>
      </c>
      <c r="N32" s="2" t="s">
        <v>29</v>
      </c>
      <c r="O32" s="2" t="e">
        <f t="shared" si="4"/>
        <v>#VALUE!</v>
      </c>
      <c r="P32" s="2">
        <f t="shared" si="5"/>
        <v>0.43008419068095405</v>
      </c>
      <c r="Q32" s="2">
        <f t="shared" si="1"/>
        <v>5.8251159277545108</v>
      </c>
      <c r="R32" s="2">
        <f t="shared" si="6"/>
        <v>4.1510066694428908E-2</v>
      </c>
      <c r="S32" s="2">
        <f t="shared" si="7"/>
        <v>140.33019919325505</v>
      </c>
      <c r="T32" s="5">
        <f t="shared" si="8"/>
        <v>8.5835201599625856E-3</v>
      </c>
      <c r="U32" s="5">
        <f t="shared" si="9"/>
        <v>1226.25</v>
      </c>
      <c r="V32" s="2">
        <f t="shared" si="10"/>
        <v>1165.0231855509021</v>
      </c>
      <c r="W32" s="2">
        <f t="shared" si="11"/>
        <v>84829.938929448239</v>
      </c>
      <c r="X32" s="2">
        <f t="shared" si="12"/>
        <v>1.052554159615412</v>
      </c>
      <c r="Y32" s="12">
        <f t="shared" si="13"/>
        <v>4.9930123913637499E-2</v>
      </c>
      <c r="Z32" s="2">
        <f t="shared" si="14"/>
        <v>69.178339595880317</v>
      </c>
      <c r="AA32" s="2">
        <f t="shared" si="15"/>
        <v>72.813949096931395</v>
      </c>
      <c r="AB32" s="2">
        <f t="shared" si="16"/>
        <v>1.0102965975294385</v>
      </c>
      <c r="AC32" s="2">
        <f t="shared" si="17"/>
        <v>2.7156832818399339</v>
      </c>
      <c r="AD32" s="2">
        <f t="shared" si="18"/>
        <v>0.97972055364030575</v>
      </c>
      <c r="AE32" s="2">
        <f t="shared" si="19"/>
        <v>0.13559440277246165</v>
      </c>
      <c r="AF32" s="16"/>
    </row>
    <row r="33" spans="1:32" x14ac:dyDescent="0.3">
      <c r="A33" s="24" t="s">
        <v>51</v>
      </c>
      <c r="B33" s="1" t="s">
        <v>34</v>
      </c>
      <c r="C33" s="1">
        <v>4.7576885003747203E-2</v>
      </c>
      <c r="D33" s="1">
        <v>0.58734141657505701</v>
      </c>
      <c r="F33" s="1">
        <v>9.81</v>
      </c>
      <c r="G33" s="2">
        <v>2500</v>
      </c>
      <c r="H33" s="18">
        <f t="shared" si="20"/>
        <v>0.05</v>
      </c>
      <c r="I33" s="2">
        <f t="shared" si="20"/>
        <v>0.05</v>
      </c>
      <c r="J33" s="2">
        <v>10</v>
      </c>
      <c r="K33" s="8">
        <v>1</v>
      </c>
      <c r="L33" s="2">
        <f t="shared" si="2"/>
        <v>58.341155235845008</v>
      </c>
      <c r="M33" s="4">
        <f t="shared" si="3"/>
        <v>1</v>
      </c>
      <c r="N33" s="2" t="s">
        <v>29</v>
      </c>
      <c r="O33" s="2" t="e">
        <f t="shared" si="4"/>
        <v>#VALUE!</v>
      </c>
      <c r="P33" s="2">
        <f t="shared" si="5"/>
        <v>0.41265858342494299</v>
      </c>
      <c r="Q33" s="2">
        <f t="shared" si="1"/>
        <v>5.8395442238207753</v>
      </c>
      <c r="R33" s="2">
        <f t="shared" si="6"/>
        <v>3.8300904619671915E-2</v>
      </c>
      <c r="S33" s="2">
        <f t="shared" si="7"/>
        <v>152.46491647671158</v>
      </c>
      <c r="T33" s="5">
        <f t="shared" si="8"/>
        <v>8.5623120715550196E-3</v>
      </c>
      <c r="U33" s="5">
        <f t="shared" si="9"/>
        <v>1226.25</v>
      </c>
      <c r="V33" s="2">
        <f t="shared" si="10"/>
        <v>1167.908844764155</v>
      </c>
      <c r="W33" s="2">
        <f t="shared" si="11"/>
        <v>85250.69185489646</v>
      </c>
      <c r="X33" s="2">
        <f t="shared" si="12"/>
        <v>1.0499535177744341</v>
      </c>
      <c r="Y33" s="12">
        <f t="shared" si="13"/>
        <v>4.7576885003747203E-2</v>
      </c>
      <c r="Z33" s="2">
        <f t="shared" si="14"/>
        <v>69.521461247621986</v>
      </c>
      <c r="AA33" s="2">
        <f t="shared" si="15"/>
        <v>72.994302797759701</v>
      </c>
      <c r="AB33" s="2">
        <f t="shared" si="16"/>
        <v>1.0097968569397628</v>
      </c>
      <c r="AC33" s="2">
        <f t="shared" si="17"/>
        <v>2.7597389215643249</v>
      </c>
      <c r="AD33" s="2">
        <f t="shared" si="18"/>
        <v>0.98069050571523042</v>
      </c>
      <c r="AE33" s="2">
        <f t="shared" si="19"/>
        <v>0.13129978131163128</v>
      </c>
      <c r="AF33" s="16"/>
    </row>
    <row r="34" spans="1:32" x14ac:dyDescent="0.3">
      <c r="A34" s="24" t="s">
        <v>51</v>
      </c>
      <c r="B34" s="1" t="s">
        <v>34</v>
      </c>
      <c r="C34" s="1">
        <v>4.6069573613884897E-2</v>
      </c>
      <c r="D34" s="1">
        <v>0.60012127563602102</v>
      </c>
      <c r="F34" s="1">
        <v>9.81</v>
      </c>
      <c r="G34" s="2">
        <v>2500</v>
      </c>
      <c r="H34" s="18">
        <f t="shared" si="20"/>
        <v>0.05</v>
      </c>
      <c r="I34" s="2">
        <f t="shared" si="20"/>
        <v>0.05</v>
      </c>
      <c r="J34" s="2">
        <v>10</v>
      </c>
      <c r="K34" s="8">
        <v>1</v>
      </c>
      <c r="L34" s="2">
        <f t="shared" si="2"/>
        <v>56.492814644026353</v>
      </c>
      <c r="M34" s="4">
        <f t="shared" si="3"/>
        <v>1</v>
      </c>
      <c r="N34" s="2" t="s">
        <v>29</v>
      </c>
      <c r="O34" s="2" t="e">
        <f t="shared" si="4"/>
        <v>#VALUE!</v>
      </c>
      <c r="P34" s="2">
        <f t="shared" si="5"/>
        <v>0.39987872436397898</v>
      </c>
      <c r="Q34" s="2">
        <f t="shared" si="1"/>
        <v>5.8487859267798683</v>
      </c>
      <c r="R34" s="2">
        <f t="shared" si="6"/>
        <v>3.6299948815171304E-2</v>
      </c>
      <c r="S34" s="2">
        <f t="shared" si="7"/>
        <v>161.12380644281819</v>
      </c>
      <c r="T34" s="5">
        <f t="shared" si="8"/>
        <v>8.5487827090857827E-3</v>
      </c>
      <c r="U34" s="5">
        <f t="shared" si="9"/>
        <v>1226.25</v>
      </c>
      <c r="V34" s="2">
        <f t="shared" si="10"/>
        <v>1169.7571853559737</v>
      </c>
      <c r="W34" s="2">
        <f t="shared" si="11"/>
        <v>85520.742043245598</v>
      </c>
      <c r="X34" s="2">
        <f t="shared" si="12"/>
        <v>1.048294479701644</v>
      </c>
      <c r="Y34" s="12">
        <f t="shared" si="13"/>
        <v>4.6069573613884897E-2</v>
      </c>
      <c r="Z34" s="2">
        <f t="shared" si="14"/>
        <v>69.741685662177858</v>
      </c>
      <c r="AA34" s="2">
        <f t="shared" si="15"/>
        <v>73.10982408474834</v>
      </c>
      <c r="AB34" s="2">
        <f t="shared" si="16"/>
        <v>1.0094775377959342</v>
      </c>
      <c r="AC34" s="2">
        <f t="shared" si="17"/>
        <v>2.7895143662839077</v>
      </c>
      <c r="AD34" s="2">
        <f t="shared" si="18"/>
        <v>0.98131103023296395</v>
      </c>
      <c r="AE34" s="2">
        <f t="shared" si="19"/>
        <v>0.128511737444506</v>
      </c>
      <c r="AF34" s="16"/>
    </row>
    <row r="35" spans="1:32" x14ac:dyDescent="0.3">
      <c r="A35" s="24" t="s">
        <v>51</v>
      </c>
      <c r="B35" s="1" t="s">
        <v>34</v>
      </c>
      <c r="C35" s="1">
        <v>4.9125262951843399E-2</v>
      </c>
      <c r="D35" s="1">
        <v>0.59549173353933005</v>
      </c>
      <c r="F35" s="1">
        <v>9.81</v>
      </c>
      <c r="G35" s="2">
        <v>2500</v>
      </c>
      <c r="H35" s="18">
        <f t="shared" si="20"/>
        <v>0.05</v>
      </c>
      <c r="I35" s="2">
        <f t="shared" si="20"/>
        <v>0.05</v>
      </c>
      <c r="J35" s="2">
        <v>10</v>
      </c>
      <c r="K35" s="8">
        <v>1</v>
      </c>
      <c r="L35" s="2">
        <f t="shared" si="2"/>
        <v>60.23985369469797</v>
      </c>
      <c r="M35" s="4">
        <f t="shared" si="3"/>
        <v>1</v>
      </c>
      <c r="N35" s="2" t="s">
        <v>29</v>
      </c>
      <c r="O35" s="2" t="e">
        <f t="shared" si="4"/>
        <v>#VALUE!</v>
      </c>
      <c r="P35" s="2">
        <f t="shared" si="5"/>
        <v>0.40450826646066995</v>
      </c>
      <c r="Q35" s="2">
        <f t="shared" si="1"/>
        <v>5.8300507315265104</v>
      </c>
      <c r="R35" s="2">
        <f t="shared" si="6"/>
        <v>4.0400850220898836E-2</v>
      </c>
      <c r="S35" s="2">
        <f t="shared" si="7"/>
        <v>144.30514951169766</v>
      </c>
      <c r="T35" s="5">
        <f t="shared" si="8"/>
        <v>8.5762547021453212E-3</v>
      </c>
      <c r="U35" s="5">
        <f t="shared" si="9"/>
        <v>1226.25</v>
      </c>
      <c r="V35" s="2">
        <f t="shared" si="10"/>
        <v>1166.010146305302</v>
      </c>
      <c r="W35" s="2">
        <f t="shared" si="11"/>
        <v>84973.728830431995</v>
      </c>
      <c r="X35" s="2">
        <f t="shared" si="12"/>
        <v>1.05166323285057</v>
      </c>
      <c r="Y35" s="12">
        <f t="shared" si="13"/>
        <v>4.9125262951843399E-2</v>
      </c>
      <c r="Z35" s="2">
        <f t="shared" si="14"/>
        <v>69.29559945397105</v>
      </c>
      <c r="AA35" s="2">
        <f t="shared" si="15"/>
        <v>72.875634144081388</v>
      </c>
      <c r="AB35" s="2">
        <f t="shared" si="16"/>
        <v>1.0101255079604836</v>
      </c>
      <c r="AC35" s="2">
        <f t="shared" si="17"/>
        <v>2.7304341304560271</v>
      </c>
      <c r="AD35" s="2">
        <f t="shared" si="18"/>
        <v>0.98005246123233647</v>
      </c>
      <c r="AE35" s="2">
        <f t="shared" si="19"/>
        <v>0.13413329463134027</v>
      </c>
      <c r="AF35" s="16"/>
    </row>
    <row r="36" spans="1:32" x14ac:dyDescent="0.3">
      <c r="A36" s="24" t="s">
        <v>51</v>
      </c>
      <c r="B36" s="1" t="s">
        <v>34</v>
      </c>
      <c r="C36" s="1">
        <v>5.4979747160637603E-2</v>
      </c>
      <c r="D36" s="1">
        <v>0.56180870861705201</v>
      </c>
      <c r="F36" s="1">
        <v>9.81</v>
      </c>
      <c r="G36" s="2">
        <v>2500</v>
      </c>
      <c r="H36" s="18">
        <f t="shared" si="20"/>
        <v>0.05</v>
      </c>
      <c r="I36" s="2">
        <f t="shared" si="20"/>
        <v>0.05</v>
      </c>
      <c r="J36" s="2">
        <v>10</v>
      </c>
      <c r="K36" s="8">
        <v>1</v>
      </c>
      <c r="L36" s="2">
        <f t="shared" si="2"/>
        <v>67.418914955731864</v>
      </c>
      <c r="M36" s="4">
        <f t="shared" si="3"/>
        <v>1</v>
      </c>
      <c r="N36" s="2" t="s">
        <v>29</v>
      </c>
      <c r="O36" s="2" t="e">
        <f t="shared" si="4"/>
        <v>#VALUE!</v>
      </c>
      <c r="P36" s="2">
        <f t="shared" si="5"/>
        <v>0.43819129138294799</v>
      </c>
      <c r="Q36" s="2">
        <f t="shared" si="1"/>
        <v>5.7941554252213407</v>
      </c>
      <c r="R36" s="2">
        <f t="shared" si="6"/>
        <v>4.874015678568426E-2</v>
      </c>
      <c r="S36" s="2">
        <f t="shared" si="7"/>
        <v>118.87847326176788</v>
      </c>
      <c r="T36" s="5">
        <f t="shared" si="8"/>
        <v>8.6293853600052442E-3</v>
      </c>
      <c r="U36" s="5">
        <f t="shared" si="9"/>
        <v>1226.25</v>
      </c>
      <c r="V36" s="2">
        <f t="shared" si="10"/>
        <v>1158.8310850442681</v>
      </c>
      <c r="W36" s="2">
        <f t="shared" si="11"/>
        <v>83930.592729054741</v>
      </c>
      <c r="X36" s="2">
        <f t="shared" si="12"/>
        <v>1.0581783797706432</v>
      </c>
      <c r="Y36" s="12">
        <f t="shared" si="13"/>
        <v>5.4979747160637603E-2</v>
      </c>
      <c r="Z36" s="2">
        <f t="shared" si="14"/>
        <v>68.444927811665437</v>
      </c>
      <c r="AA36" s="2">
        <f t="shared" si="15"/>
        <v>72.42694281526677</v>
      </c>
      <c r="AB36" s="2">
        <f t="shared" si="16"/>
        <v>1.0113739814270855</v>
      </c>
      <c r="AC36" s="2">
        <f t="shared" si="17"/>
        <v>2.6298587346048414</v>
      </c>
      <c r="AD36" s="2">
        <f t="shared" si="18"/>
        <v>0.97763433636681196</v>
      </c>
      <c r="AE36" s="2">
        <f t="shared" si="19"/>
        <v>0.14458896829676854</v>
      </c>
      <c r="AF36" s="16"/>
    </row>
    <row r="37" spans="1:32" x14ac:dyDescent="0.3">
      <c r="A37" s="24" t="s">
        <v>51</v>
      </c>
      <c r="B37" s="1" t="s">
        <v>34</v>
      </c>
      <c r="C37" s="1">
        <v>5.9576393648250001E-2</v>
      </c>
      <c r="D37" s="1">
        <v>0.55369620588227297</v>
      </c>
      <c r="F37" s="1">
        <v>9.81</v>
      </c>
      <c r="G37" s="2">
        <v>2500</v>
      </c>
      <c r="H37" s="18">
        <f t="shared" si="20"/>
        <v>0.05</v>
      </c>
      <c r="I37" s="2">
        <f t="shared" si="20"/>
        <v>0.05</v>
      </c>
      <c r="J37" s="2">
        <v>10</v>
      </c>
      <c r="K37" s="8">
        <v>1</v>
      </c>
      <c r="L37" s="2">
        <f t="shared" si="2"/>
        <v>73.05555271116657</v>
      </c>
      <c r="M37" s="4">
        <f t="shared" si="3"/>
        <v>1</v>
      </c>
      <c r="N37" s="2" t="s">
        <v>29</v>
      </c>
      <c r="O37" s="2" t="e">
        <f t="shared" si="4"/>
        <v>#VALUE!</v>
      </c>
      <c r="P37" s="2">
        <f t="shared" si="5"/>
        <v>0.44630379411772703</v>
      </c>
      <c r="Q37" s="2">
        <f t="shared" si="1"/>
        <v>5.7659722364441679</v>
      </c>
      <c r="R37" s="2">
        <f t="shared" si="6"/>
        <v>5.5719350080395275E-2</v>
      </c>
      <c r="S37" s="2">
        <f t="shared" si="7"/>
        <v>103.48240293766298</v>
      </c>
      <c r="T37" s="5">
        <f t="shared" si="8"/>
        <v>8.6715644733722543E-3</v>
      </c>
      <c r="U37" s="5">
        <f t="shared" si="9"/>
        <v>1226.25</v>
      </c>
      <c r="V37" s="2">
        <f t="shared" si="10"/>
        <v>1153.1944472888335</v>
      </c>
      <c r="W37" s="2">
        <f t="shared" si="11"/>
        <v>83116.089578612402</v>
      </c>
      <c r="X37" s="2">
        <f t="shared" si="12"/>
        <v>1.0633505935472725</v>
      </c>
      <c r="Y37" s="12">
        <f t="shared" si="13"/>
        <v>5.9576393648250008E-2</v>
      </c>
      <c r="Z37" s="2">
        <f t="shared" si="14"/>
        <v>67.78070505901114</v>
      </c>
      <c r="AA37" s="2">
        <f t="shared" si="15"/>
        <v>72.074652955552111</v>
      </c>
      <c r="AB37" s="2">
        <f t="shared" si="16"/>
        <v>1.0123607422640264</v>
      </c>
      <c r="AC37" s="2">
        <f t="shared" si="17"/>
        <v>2.5604045867399519</v>
      </c>
      <c r="AD37" s="2">
        <f t="shared" si="18"/>
        <v>0.97572944004414985</v>
      </c>
      <c r="AE37" s="2">
        <f t="shared" si="19"/>
        <v>0.15253967155840426</v>
      </c>
      <c r="AF37" s="16"/>
    </row>
    <row r="38" spans="1:32" x14ac:dyDescent="0.3">
      <c r="A38" s="24" t="s">
        <v>51</v>
      </c>
      <c r="B38" s="1" t="s">
        <v>34</v>
      </c>
      <c r="C38" s="1">
        <v>8.0187590806649695E-2</v>
      </c>
      <c r="D38" s="1">
        <v>0.52123809189397896</v>
      </c>
      <c r="F38" s="1">
        <v>9.81</v>
      </c>
      <c r="G38" s="2">
        <v>2500</v>
      </c>
      <c r="H38" s="18">
        <f t="shared" si="20"/>
        <v>0.05</v>
      </c>
      <c r="I38" s="2">
        <f t="shared" si="20"/>
        <v>0.05</v>
      </c>
      <c r="J38" s="2">
        <v>10</v>
      </c>
      <c r="K38" s="8">
        <v>1</v>
      </c>
      <c r="L38" s="2">
        <f t="shared" si="2"/>
        <v>98.330033226654194</v>
      </c>
      <c r="M38" s="4">
        <f t="shared" si="3"/>
        <v>1</v>
      </c>
      <c r="N38" s="2" t="s">
        <v>29</v>
      </c>
      <c r="O38" s="2" t="e">
        <f t="shared" si="4"/>
        <v>#VALUE!</v>
      </c>
      <c r="P38" s="2">
        <f t="shared" si="5"/>
        <v>0.47876190810602104</v>
      </c>
      <c r="Q38" s="2">
        <f t="shared" si="1"/>
        <v>5.639599833866729</v>
      </c>
      <c r="R38" s="2">
        <f t="shared" si="6"/>
        <v>9.1424157581780852E-2</v>
      </c>
      <c r="S38" s="2">
        <f t="shared" si="7"/>
        <v>61.686101168851209</v>
      </c>
      <c r="T38" s="5">
        <f t="shared" si="8"/>
        <v>8.8658772737281351E-3</v>
      </c>
      <c r="U38" s="5">
        <f t="shared" si="9"/>
        <v>1226.25</v>
      </c>
      <c r="V38" s="2">
        <f t="shared" si="10"/>
        <v>1127.9199667733458</v>
      </c>
      <c r="W38" s="2">
        <f t="shared" si="11"/>
        <v>79512.715715374099</v>
      </c>
      <c r="X38" s="2">
        <f t="shared" si="12"/>
        <v>1.0871782006909125</v>
      </c>
      <c r="Y38" s="12">
        <f t="shared" si="13"/>
        <v>8.0187590806649695E-2</v>
      </c>
      <c r="Z38" s="2">
        <f t="shared" si="14"/>
        <v>64.84217387594218</v>
      </c>
      <c r="AA38" s="2">
        <f t="shared" si="15"/>
        <v>70.494997923334125</v>
      </c>
      <c r="AB38" s="2">
        <f t="shared" si="16"/>
        <v>1.016857619278696</v>
      </c>
      <c r="AC38" s="2">
        <f t="shared" si="17"/>
        <v>2.3189832486540416</v>
      </c>
      <c r="AD38" s="2">
        <f t="shared" si="18"/>
        <v>0.96711853285693583</v>
      </c>
      <c r="AE38" s="2">
        <f t="shared" si="19"/>
        <v>0.18595367983054553</v>
      </c>
      <c r="AF38" s="16"/>
    </row>
    <row r="39" spans="1:32" x14ac:dyDescent="0.3">
      <c r="A39" s="24" t="s">
        <v>51</v>
      </c>
      <c r="B39" s="1" t="s">
        <v>34</v>
      </c>
      <c r="C39" s="1">
        <v>8.9712944156388794E-2</v>
      </c>
      <c r="D39" s="1">
        <v>0.53057820657913501</v>
      </c>
      <c r="F39" s="1">
        <v>9.81</v>
      </c>
      <c r="G39" s="2">
        <v>2500</v>
      </c>
      <c r="H39" s="18">
        <f t="shared" si="20"/>
        <v>0.05</v>
      </c>
      <c r="I39" s="2">
        <f t="shared" si="20"/>
        <v>0.05</v>
      </c>
      <c r="J39" s="2">
        <v>10</v>
      </c>
      <c r="K39" s="8">
        <v>1</v>
      </c>
      <c r="L39" s="2">
        <f t="shared" si="2"/>
        <v>110.01049777177175</v>
      </c>
      <c r="M39" s="4">
        <f t="shared" si="3"/>
        <v>1</v>
      </c>
      <c r="N39" s="2" t="s">
        <v>29</v>
      </c>
      <c r="O39" s="2" t="e">
        <f t="shared" si="4"/>
        <v>#VALUE!</v>
      </c>
      <c r="P39" s="2">
        <f t="shared" si="5"/>
        <v>0.46942179342086499</v>
      </c>
      <c r="Q39" s="2">
        <f t="shared" si="1"/>
        <v>5.5811975111411414</v>
      </c>
      <c r="R39" s="2">
        <f t="shared" si="6"/>
        <v>0.11023196274551425</v>
      </c>
      <c r="S39" s="2">
        <f t="shared" si="7"/>
        <v>50.631390135237893</v>
      </c>
      <c r="T39" s="5">
        <f t="shared" si="8"/>
        <v>8.9586508809606554E-3</v>
      </c>
      <c r="U39" s="5">
        <f t="shared" si="9"/>
        <v>1226.25</v>
      </c>
      <c r="V39" s="2">
        <f t="shared" si="10"/>
        <v>1116.2395022282283</v>
      </c>
      <c r="W39" s="2">
        <f t="shared" si="11"/>
        <v>77874.414145920178</v>
      </c>
      <c r="X39" s="2">
        <f t="shared" si="12"/>
        <v>1.0985545642778003</v>
      </c>
      <c r="Y39" s="12">
        <f t="shared" si="13"/>
        <v>8.9712944156388794E-2</v>
      </c>
      <c r="Z39" s="2">
        <f t="shared" si="14"/>
        <v>63.506148131229502</v>
      </c>
      <c r="AA39" s="2">
        <f t="shared" si="15"/>
        <v>69.764968889264267</v>
      </c>
      <c r="AB39" s="2">
        <f t="shared" si="16"/>
        <v>1.0189768714139797</v>
      </c>
      <c r="AC39" s="2">
        <f t="shared" si="17"/>
        <v>2.2338206269881402</v>
      </c>
      <c r="AD39" s="2">
        <f t="shared" si="18"/>
        <v>0.9630999201807493</v>
      </c>
      <c r="AE39" s="2">
        <f t="shared" si="19"/>
        <v>0.20040262516437649</v>
      </c>
      <c r="AF39" s="16"/>
    </row>
    <row r="40" spans="1:32" x14ac:dyDescent="0.3">
      <c r="A40" s="24" t="s">
        <v>51</v>
      </c>
      <c r="B40" s="1" t="s">
        <v>34</v>
      </c>
      <c r="C40" s="1">
        <v>0.13405698540876201</v>
      </c>
      <c r="D40" s="1">
        <v>0.46792272932304402</v>
      </c>
      <c r="F40" s="1">
        <v>9.81</v>
      </c>
      <c r="G40" s="2">
        <v>2500</v>
      </c>
      <c r="H40" s="18">
        <f t="shared" si="20"/>
        <v>0.05</v>
      </c>
      <c r="I40" s="2">
        <f t="shared" si="20"/>
        <v>0.05</v>
      </c>
      <c r="J40" s="2">
        <v>10</v>
      </c>
      <c r="K40" s="8">
        <v>1</v>
      </c>
      <c r="L40" s="2">
        <f t="shared" si="2"/>
        <v>164.38737835749441</v>
      </c>
      <c r="M40" s="4">
        <f t="shared" si="3"/>
        <v>1</v>
      </c>
      <c r="N40" s="2" t="s">
        <v>29</v>
      </c>
      <c r="O40" s="2" t="e">
        <f t="shared" si="4"/>
        <v>#VALUE!</v>
      </c>
      <c r="P40" s="2">
        <f t="shared" si="5"/>
        <v>0.53207727067695598</v>
      </c>
      <c r="Q40" s="2">
        <f t="shared" si="1"/>
        <v>5.3093131082125273</v>
      </c>
      <c r="R40" s="2">
        <f t="shared" si="6"/>
        <v>0.21529375860808347</v>
      </c>
      <c r="S40" s="2">
        <f t="shared" si="7"/>
        <v>24.66078507123607</v>
      </c>
      <c r="T40" s="5">
        <f t="shared" si="8"/>
        <v>9.4174140761559572E-3</v>
      </c>
      <c r="U40" s="5">
        <f t="shared" si="9"/>
        <v>1226.25</v>
      </c>
      <c r="V40" s="2">
        <f t="shared" si="10"/>
        <v>1061.8626216425055</v>
      </c>
      <c r="W40" s="2">
        <f t="shared" si="11"/>
        <v>70472.014202593418</v>
      </c>
      <c r="X40" s="2">
        <f t="shared" si="12"/>
        <v>1.1548104010886244</v>
      </c>
      <c r="Y40" s="12">
        <f t="shared" si="13"/>
        <v>0.13405698540876201</v>
      </c>
      <c r="Z40" s="2">
        <f t="shared" si="14"/>
        <v>57.469532479179136</v>
      </c>
      <c r="AA40" s="2">
        <f t="shared" si="15"/>
        <v>66.366413852656592</v>
      </c>
      <c r="AB40" s="2">
        <f t="shared" si="16"/>
        <v>1.0292055923730548</v>
      </c>
      <c r="AC40" s="2">
        <f t="shared" si="17"/>
        <v>1.9539053272966975</v>
      </c>
      <c r="AD40" s="2">
        <f t="shared" si="18"/>
        <v>0.94405158402159561</v>
      </c>
      <c r="AE40" s="2">
        <f t="shared" si="19"/>
        <v>0.26193465795151577</v>
      </c>
      <c r="AF40" s="16"/>
    </row>
    <row r="41" spans="1:32" x14ac:dyDescent="0.3">
      <c r="A41" s="24" t="s">
        <v>51</v>
      </c>
      <c r="B41" s="1" t="s">
        <v>34</v>
      </c>
      <c r="C41" s="1">
        <v>0.18640352544081701</v>
      </c>
      <c r="D41" s="1">
        <v>0.37966161666635101</v>
      </c>
      <c r="F41" s="1">
        <v>9.81</v>
      </c>
      <c r="G41" s="2">
        <v>2500</v>
      </c>
      <c r="H41" s="18">
        <f t="shared" si="20"/>
        <v>0.05</v>
      </c>
      <c r="I41" s="2">
        <f t="shared" si="20"/>
        <v>0.05</v>
      </c>
      <c r="J41" s="2">
        <v>10</v>
      </c>
      <c r="K41" s="8">
        <v>1</v>
      </c>
      <c r="L41" s="2">
        <f t="shared" si="2"/>
        <v>228.57732307180186</v>
      </c>
      <c r="M41" s="4">
        <f t="shared" si="3"/>
        <v>1</v>
      </c>
      <c r="N41" s="2" t="s">
        <v>29</v>
      </c>
      <c r="O41" s="2" t="e">
        <f t="shared" si="4"/>
        <v>#VALUE!</v>
      </c>
      <c r="P41" s="2">
        <f t="shared" si="5"/>
        <v>0.62033838333364899</v>
      </c>
      <c r="Q41" s="2">
        <f t="shared" si="1"/>
        <v>4.9883633846409907</v>
      </c>
      <c r="R41" s="2">
        <f t="shared" si="6"/>
        <v>0.37294022445415559</v>
      </c>
      <c r="S41" s="2">
        <f t="shared" si="7"/>
        <v>13.375771926833801</v>
      </c>
      <c r="T41" s="5">
        <f t="shared" si="8"/>
        <v>1.0023327521396773E-2</v>
      </c>
      <c r="U41" s="5">
        <f t="shared" si="9"/>
        <v>1226.25</v>
      </c>
      <c r="V41" s="2">
        <f t="shared" si="10"/>
        <v>997.67267692819814</v>
      </c>
      <c r="W41" s="2">
        <f t="shared" si="11"/>
        <v>62209.423143067303</v>
      </c>
      <c r="X41" s="2">
        <f t="shared" si="12"/>
        <v>1.2291105373112794</v>
      </c>
      <c r="Y41" s="12">
        <f t="shared" si="13"/>
        <v>0.18640352544081701</v>
      </c>
      <c r="Z41" s="2">
        <f t="shared" si="14"/>
        <v>50.7314357945503</v>
      </c>
      <c r="AA41" s="2">
        <f t="shared" si="15"/>
        <v>62.354542308012384</v>
      </c>
      <c r="AB41" s="2">
        <f t="shared" si="16"/>
        <v>1.042121098010276</v>
      </c>
      <c r="AC41" s="2">
        <f t="shared" si="17"/>
        <v>1.7505799876355326</v>
      </c>
      <c r="AD41" s="2">
        <f t="shared" si="18"/>
        <v>0.92079642234584369</v>
      </c>
      <c r="AE41" s="2">
        <f t="shared" si="19"/>
        <v>0.32631428126140516</v>
      </c>
      <c r="AF41" s="16"/>
    </row>
    <row r="42" spans="1:32" x14ac:dyDescent="0.3">
      <c r="A42" s="24" t="s">
        <v>51</v>
      </c>
      <c r="B42" s="1" t="s">
        <v>34</v>
      </c>
      <c r="C42" s="1">
        <v>0.27195199521909302</v>
      </c>
      <c r="D42" s="1">
        <v>0.300719010563675</v>
      </c>
      <c r="F42" s="1">
        <v>9.81</v>
      </c>
      <c r="G42" s="2">
        <v>2500</v>
      </c>
      <c r="H42" s="18">
        <f t="shared" si="20"/>
        <v>0.05</v>
      </c>
      <c r="I42" s="2">
        <f t="shared" si="20"/>
        <v>0.05</v>
      </c>
      <c r="J42" s="2">
        <v>10</v>
      </c>
      <c r="K42" s="8">
        <v>1</v>
      </c>
      <c r="L42" s="2">
        <f t="shared" si="2"/>
        <v>333.48113413741282</v>
      </c>
      <c r="M42" s="4">
        <f t="shared" si="3"/>
        <v>1</v>
      </c>
      <c r="N42" s="2" t="s">
        <v>29</v>
      </c>
      <c r="O42" s="2" t="e">
        <f t="shared" si="4"/>
        <v>#VALUE!</v>
      </c>
      <c r="P42" s="2">
        <f t="shared" si="5"/>
        <v>0.699280989436325</v>
      </c>
      <c r="Q42" s="2">
        <f t="shared" si="1"/>
        <v>4.463844329312936</v>
      </c>
      <c r="R42" s="2">
        <f t="shared" si="6"/>
        <v>0.69990018307496704</v>
      </c>
      <c r="S42" s="2">
        <f t="shared" si="7"/>
        <v>6.3778299209771872</v>
      </c>
      <c r="T42" s="5">
        <f t="shared" si="8"/>
        <v>1.1201107456114152E-2</v>
      </c>
      <c r="U42" s="5">
        <f t="shared" si="9"/>
        <v>1226.25</v>
      </c>
      <c r="V42" s="2">
        <f t="shared" si="10"/>
        <v>892.76886586258706</v>
      </c>
      <c r="W42" s="2">
        <f t="shared" si="11"/>
        <v>49814.765490848142</v>
      </c>
      <c r="X42" s="2">
        <f t="shared" si="12"/>
        <v>1.373535801805998</v>
      </c>
      <c r="Y42" s="12">
        <f t="shared" si="13"/>
        <v>0.27195199521909302</v>
      </c>
      <c r="Z42" s="2">
        <f t="shared" si="14"/>
        <v>40.623661970110618</v>
      </c>
      <c r="AA42" s="2">
        <f t="shared" si="15"/>
        <v>55.798054116411713</v>
      </c>
      <c r="AB42" s="2">
        <f t="shared" si="16"/>
        <v>1.0655356798331346</v>
      </c>
      <c r="AC42" s="2">
        <f t="shared" si="17"/>
        <v>1.5434856051529926</v>
      </c>
      <c r="AD42" s="2">
        <f t="shared" si="18"/>
        <v>0.88077302736027341</v>
      </c>
      <c r="AE42" s="2">
        <f t="shared" si="19"/>
        <v>0.41975398991330559</v>
      </c>
      <c r="AF42" s="16"/>
    </row>
    <row r="43" spans="1:32" x14ac:dyDescent="0.3">
      <c r="A43" s="24" t="s">
        <v>51</v>
      </c>
      <c r="B43" s="1" t="s">
        <v>34</v>
      </c>
      <c r="C43" s="1">
        <v>0.28087072351154102</v>
      </c>
      <c r="D43" s="1">
        <v>0.278636851047048</v>
      </c>
      <c r="F43" s="1">
        <v>9.81</v>
      </c>
      <c r="G43" s="2">
        <v>2500</v>
      </c>
      <c r="H43" s="18">
        <f t="shared" si="20"/>
        <v>0.05</v>
      </c>
      <c r="I43" s="2">
        <f t="shared" si="20"/>
        <v>0.05</v>
      </c>
      <c r="J43" s="2">
        <v>10</v>
      </c>
      <c r="K43" s="8">
        <v>1</v>
      </c>
      <c r="L43" s="2">
        <f t="shared" si="2"/>
        <v>344.41772470602717</v>
      </c>
      <c r="M43" s="4">
        <f t="shared" si="3"/>
        <v>1</v>
      </c>
      <c r="N43" s="2" t="s">
        <v>29</v>
      </c>
      <c r="O43" s="2" t="e">
        <f t="shared" si="4"/>
        <v>#VALUE!</v>
      </c>
      <c r="P43" s="2">
        <f t="shared" si="5"/>
        <v>0.72136314895295195</v>
      </c>
      <c r="Q43" s="2">
        <f t="shared" si="1"/>
        <v>4.4091613764698643</v>
      </c>
      <c r="R43" s="2">
        <f t="shared" si="6"/>
        <v>0.73857252256179751</v>
      </c>
      <c r="S43" s="2">
        <f t="shared" si="7"/>
        <v>5.9698421506074144</v>
      </c>
      <c r="T43" s="5">
        <f t="shared" si="8"/>
        <v>1.1340024945975516E-2</v>
      </c>
      <c r="U43" s="5">
        <f t="shared" si="9"/>
        <v>1226.25</v>
      </c>
      <c r="V43" s="2">
        <f t="shared" si="10"/>
        <v>881.83227529397288</v>
      </c>
      <c r="W43" s="2">
        <f t="shared" si="11"/>
        <v>48601.760109384071</v>
      </c>
      <c r="X43" s="2">
        <f t="shared" si="12"/>
        <v>1.3905705590002475</v>
      </c>
      <c r="Y43" s="12">
        <f t="shared" si="13"/>
        <v>0.28087072351154102</v>
      </c>
      <c r="Z43" s="2">
        <f t="shared" si="14"/>
        <v>39.634462882270391</v>
      </c>
      <c r="AA43" s="2">
        <f t="shared" si="15"/>
        <v>55.114517205873305</v>
      </c>
      <c r="AB43" s="2">
        <f t="shared" si="16"/>
        <v>1.0681656456177206</v>
      </c>
      <c r="AC43" s="2">
        <f t="shared" si="17"/>
        <v>1.5269723592475346</v>
      </c>
      <c r="AD43" s="2">
        <f t="shared" si="18"/>
        <v>0.87644120618721433</v>
      </c>
      <c r="AE43" s="2">
        <f t="shared" si="19"/>
        <v>0.42888183132397978</v>
      </c>
      <c r="AF43" s="16"/>
    </row>
  </sheetData>
  <mergeCells count="2">
    <mergeCell ref="F1:AE1"/>
    <mergeCell ref="A1:D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44"/>
  <sheetViews>
    <sheetView zoomScaleNormal="100" workbookViewId="0">
      <selection activeCell="N9" sqref="N9"/>
    </sheetView>
  </sheetViews>
  <sheetFormatPr baseColWidth="10" defaultColWidth="8.88671875" defaultRowHeight="14.4" x14ac:dyDescent="0.3"/>
  <cols>
    <col min="1" max="1" width="9.109375" style="16"/>
    <col min="2" max="2" width="11.88671875" style="16" bestFit="1" customWidth="1"/>
    <col min="3" max="3" width="9.109375" style="16"/>
    <col min="4" max="4" width="32.33203125" customWidth="1"/>
    <col min="6" max="6" width="9.44140625" style="14" customWidth="1"/>
    <col min="7" max="7" width="9.5546875" style="14" bestFit="1" customWidth="1"/>
    <col min="8" max="13" width="9.109375" style="14"/>
    <col min="14" max="14" width="11.109375" style="14" customWidth="1"/>
    <col min="15" max="16" width="9.109375" style="14"/>
    <col min="17" max="19" width="12" style="14" bestFit="1" customWidth="1"/>
    <col min="20" max="20" width="9.109375" style="14"/>
    <col min="21" max="21" width="11.109375" style="14" bestFit="1" customWidth="1"/>
    <col min="22" max="22" width="12.6640625" style="14" bestFit="1" customWidth="1"/>
    <col min="23" max="23" width="12" style="14" bestFit="1" customWidth="1"/>
    <col min="24" max="24" width="9.109375" style="14"/>
    <col min="25" max="25" width="9.109375" style="10"/>
    <col min="26" max="26" width="9.109375" style="14"/>
    <col min="27" max="27" width="12" style="14" bestFit="1" customWidth="1"/>
    <col min="28" max="28" width="17" style="14" bestFit="1" customWidth="1"/>
    <col min="29" max="29" width="16.6640625" style="14" bestFit="1" customWidth="1"/>
    <col min="30" max="30" width="23.88671875" bestFit="1" customWidth="1"/>
    <col min="31" max="31" width="16.6640625" bestFit="1" customWidth="1"/>
  </cols>
  <sheetData>
    <row r="1" spans="1:31" ht="15" thickBot="1" x14ac:dyDescent="0.35">
      <c r="A1" s="36" t="s">
        <v>54</v>
      </c>
      <c r="B1" s="37"/>
      <c r="C1" s="37"/>
      <c r="D1" s="38"/>
      <c r="F1" s="33" t="s">
        <v>23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5"/>
    </row>
    <row r="2" spans="1:31" ht="20.399999999999999" thickBot="1" x14ac:dyDescent="0.35">
      <c r="A2" s="17" t="s">
        <v>37</v>
      </c>
      <c r="B2" s="17" t="s">
        <v>35</v>
      </c>
      <c r="C2" s="17" t="s">
        <v>43</v>
      </c>
      <c r="D2" s="17" t="s">
        <v>42</v>
      </c>
      <c r="F2" s="6" t="s">
        <v>6</v>
      </c>
      <c r="G2" s="6" t="s">
        <v>8</v>
      </c>
      <c r="H2" s="6" t="s">
        <v>9</v>
      </c>
      <c r="I2" s="6" t="s">
        <v>14</v>
      </c>
      <c r="J2" s="6" t="s">
        <v>7</v>
      </c>
      <c r="K2" s="6" t="s">
        <v>19</v>
      </c>
      <c r="L2" s="6" t="s">
        <v>4</v>
      </c>
      <c r="M2" s="20" t="s">
        <v>2</v>
      </c>
      <c r="N2" s="6" t="s">
        <v>38</v>
      </c>
      <c r="O2" s="6" t="s">
        <v>39</v>
      </c>
      <c r="P2" s="6" t="s">
        <v>40</v>
      </c>
      <c r="Q2" s="6" t="s">
        <v>10</v>
      </c>
      <c r="R2" s="6" t="s">
        <v>15</v>
      </c>
      <c r="S2" s="6" t="s">
        <v>16</v>
      </c>
      <c r="T2" s="15" t="s">
        <v>17</v>
      </c>
      <c r="U2" s="21" t="s">
        <v>3</v>
      </c>
      <c r="V2" s="6" t="s">
        <v>21</v>
      </c>
      <c r="W2" s="6" t="s">
        <v>13</v>
      </c>
      <c r="X2" s="6" t="s">
        <v>0</v>
      </c>
      <c r="Y2" s="6" t="s">
        <v>1</v>
      </c>
      <c r="Z2" s="6" t="s">
        <v>12</v>
      </c>
      <c r="AA2" s="6" t="s">
        <v>11</v>
      </c>
      <c r="AB2" s="6" t="s">
        <v>20</v>
      </c>
      <c r="AC2" s="6" t="s">
        <v>5</v>
      </c>
      <c r="AD2" s="6" t="s">
        <v>27</v>
      </c>
      <c r="AE2" s="6" t="s">
        <v>28</v>
      </c>
    </row>
    <row r="3" spans="1:31" x14ac:dyDescent="0.3">
      <c r="A3" s="2" t="s">
        <v>47</v>
      </c>
      <c r="B3" s="24" t="s">
        <v>33</v>
      </c>
      <c r="C3" s="24">
        <v>4.9366800944725796E-3</v>
      </c>
      <c r="D3" s="24">
        <v>0.11</v>
      </c>
      <c r="F3" s="2">
        <v>9.81</v>
      </c>
      <c r="G3" s="2">
        <v>1030</v>
      </c>
      <c r="H3" s="2">
        <f>97/1000</f>
        <v>9.7000000000000003E-2</v>
      </c>
      <c r="I3" s="3">
        <f>56.5/2000</f>
        <v>2.8250000000000001E-2</v>
      </c>
      <c r="J3" s="2">
        <v>100</v>
      </c>
      <c r="K3" s="8">
        <v>1</v>
      </c>
      <c r="L3" s="2">
        <v>4.8</v>
      </c>
      <c r="M3" s="4">
        <f>H3/I3/2</f>
        <v>1.7168141592920354</v>
      </c>
      <c r="N3" s="2">
        <f>D3/I3</f>
        <v>3.8938053097345131</v>
      </c>
      <c r="O3" s="2">
        <f>N3-1</f>
        <v>2.8938053097345131</v>
      </c>
      <c r="P3" s="2">
        <f>C3/H3</f>
        <v>5.0893609221366799E-2</v>
      </c>
      <c r="Q3" s="2">
        <f>(((U3-L3)*(H3^K3))/(J3))^(1/K3)</f>
        <v>0.9460575870000002</v>
      </c>
      <c r="R3" s="2">
        <f>(((L3^(((2*K3)+3)/3))*(H3^K3)*(1/J3))/((U3*M3)^(2*K3/3)))^(1/K3)</f>
        <v>9.3649679344348974E-5</v>
      </c>
      <c r="S3" s="2">
        <f t="shared" ref="S3:S9" si="0">Q3/R3</f>
        <v>10102.09104423471</v>
      </c>
      <c r="T3" s="5">
        <f t="shared" ref="T3:T9" si="1">(J3+(L3*H3/Q3))/U3</f>
        <v>0.10253075640732638</v>
      </c>
      <c r="U3" s="5">
        <f t="shared" ref="U3:U9" si="2">F3*G3*H3</f>
        <v>980.11710000000016</v>
      </c>
      <c r="V3" s="2">
        <f>J3*((Q3/H3)^(K3))</f>
        <v>975.31710000000021</v>
      </c>
      <c r="W3" s="2">
        <f t="shared" ref="W3:W9" si="3">G3*Q3*Q3</f>
        <v>921.87570665787086</v>
      </c>
      <c r="X3" s="2">
        <f t="shared" ref="X3:X9" si="4">U3/V3</f>
        <v>1.0049214763075516</v>
      </c>
      <c r="Y3" s="12">
        <f t="shared" ref="Y3:Y9" si="5">L3/U3</f>
        <v>4.8973739974539771E-3</v>
      </c>
      <c r="Z3" s="2">
        <f t="shared" ref="Z3:Z9" si="6">W3/U3</f>
        <v>0.94057710722307641</v>
      </c>
      <c r="AA3" s="2">
        <f t="shared" ref="AA3:AA9" si="7">W3/V3</f>
        <v>0.94520613517170027</v>
      </c>
      <c r="AB3" s="2">
        <f>(X3*M3)^((1)/((2*K3)+3))</f>
        <v>1.1152470491976061</v>
      </c>
      <c r="AC3" s="2">
        <f t="shared" ref="AC3:AC9" si="8">((1/Y3)*M3)^(1/3)</f>
        <v>7.0510425988594783</v>
      </c>
      <c r="AD3" s="2">
        <f t="shared" ref="AD3:AD10" si="9">((1/X3)*(1/L3))^((2)/((2*J3)+3))</f>
        <v>0.98461683593036831</v>
      </c>
      <c r="AE3" s="2">
        <f t="shared" ref="AE3:AE10" si="10">((Y3)*(1/L3))^(2/3)</f>
        <v>1.0134788479994243E-2</v>
      </c>
    </row>
    <row r="4" spans="1:31" x14ac:dyDescent="0.3">
      <c r="A4" s="2" t="s">
        <v>47</v>
      </c>
      <c r="B4" s="23" t="s">
        <v>33</v>
      </c>
      <c r="C4" s="23">
        <v>1.3051800308956699E-2</v>
      </c>
      <c r="D4" s="23">
        <v>0.09</v>
      </c>
      <c r="F4" s="1">
        <v>9.81</v>
      </c>
      <c r="G4" s="2">
        <v>1030</v>
      </c>
      <c r="H4" s="2">
        <f t="shared" ref="H4:H10" si="11">97/1000</f>
        <v>9.7000000000000003E-2</v>
      </c>
      <c r="I4" s="3">
        <f t="shared" ref="I4:I10" si="12">56.5/2000</f>
        <v>2.8250000000000001E-2</v>
      </c>
      <c r="J4" s="2">
        <v>100</v>
      </c>
      <c r="K4" s="8">
        <v>1</v>
      </c>
      <c r="L4" s="2">
        <v>10</v>
      </c>
      <c r="M4" s="4">
        <f t="shared" ref="M4:M10" si="13">H4/I4/2</f>
        <v>1.7168141592920354</v>
      </c>
      <c r="N4" s="2">
        <f t="shared" ref="N4:N10" si="14">D4/I4</f>
        <v>3.1858407079646014</v>
      </c>
      <c r="O4" s="1">
        <f t="shared" ref="O4:O9" si="15">N4-1</f>
        <v>2.1858407079646014</v>
      </c>
      <c r="P4" s="2">
        <f t="shared" ref="P4:P10" si="16">C4/H4</f>
        <v>0.13455464236037834</v>
      </c>
      <c r="Q4" s="2">
        <f t="shared" ref="Q4:Q10" si="17">(((U4-L4)*(H4^K4))/(J4))^(1/K4)</f>
        <v>0.94101358700000015</v>
      </c>
      <c r="R4" s="2">
        <f t="shared" ref="R4:R9" si="18">(((L4^(((2*K4)+3)/3))*(H4^K4)*(1/J4))/((U4*M4)^(2*K4/3)))^(1/K4)</f>
        <v>3.1825182228388196E-4</v>
      </c>
      <c r="S4" s="2">
        <f t="shared" si="0"/>
        <v>2956.820734747002</v>
      </c>
      <c r="T4" s="5">
        <f t="shared" si="1"/>
        <v>0.10308033947654359</v>
      </c>
      <c r="U4" s="5">
        <f t="shared" si="2"/>
        <v>980.11710000000016</v>
      </c>
      <c r="V4" s="2">
        <f t="shared" ref="V4:V9" si="19">J4*((Q4/H4)^(K4))</f>
        <v>970.11710000000005</v>
      </c>
      <c r="W4" s="2">
        <f t="shared" si="3"/>
        <v>912.07176804616506</v>
      </c>
      <c r="X4" s="2">
        <f t="shared" si="4"/>
        <v>1.0103080339476544</v>
      </c>
      <c r="Y4" s="12">
        <f t="shared" si="5"/>
        <v>1.0202862494695784E-2</v>
      </c>
      <c r="Z4" s="2">
        <f t="shared" si="6"/>
        <v>0.93057428346690907</v>
      </c>
      <c r="AA4" s="2">
        <f t="shared" si="7"/>
        <v>0.94016667477170024</v>
      </c>
      <c r="AB4" s="2">
        <f t="shared" ref="AB4:AB9" si="20">(X4*M4)^((1)/((2*K4)+3))</f>
        <v>1.1164400784550652</v>
      </c>
      <c r="AC4" s="2">
        <f t="shared" si="8"/>
        <v>5.5207797013556359</v>
      </c>
      <c r="AD4" s="2">
        <f t="shared" si="9"/>
        <v>0.97747104939701313</v>
      </c>
      <c r="AE4" s="2">
        <f t="shared" si="10"/>
        <v>1.0134788479994234E-2</v>
      </c>
    </row>
    <row r="5" spans="1:31" x14ac:dyDescent="0.3">
      <c r="A5" s="2" t="s">
        <v>47</v>
      </c>
      <c r="B5" s="23" t="s">
        <v>33</v>
      </c>
      <c r="C5" s="23">
        <v>1.4134501705755099E-2</v>
      </c>
      <c r="D5" s="23">
        <v>7.4999999999999997E-2</v>
      </c>
      <c r="F5" s="2">
        <v>9.81</v>
      </c>
      <c r="G5" s="2">
        <v>1030</v>
      </c>
      <c r="H5" s="2">
        <f t="shared" si="11"/>
        <v>9.7000000000000003E-2</v>
      </c>
      <c r="I5" s="3">
        <f t="shared" si="12"/>
        <v>2.8250000000000001E-2</v>
      </c>
      <c r="J5" s="2">
        <v>100</v>
      </c>
      <c r="K5" s="8">
        <v>1</v>
      </c>
      <c r="L5" s="2">
        <v>18</v>
      </c>
      <c r="M5" s="4">
        <f t="shared" si="13"/>
        <v>1.7168141592920354</v>
      </c>
      <c r="N5" s="2">
        <f t="shared" si="14"/>
        <v>2.6548672566371678</v>
      </c>
      <c r="O5" s="1">
        <f t="shared" si="15"/>
        <v>1.6548672566371678</v>
      </c>
      <c r="P5" s="2">
        <f t="shared" si="16"/>
        <v>0.14571651243046493</v>
      </c>
      <c r="Q5" s="2">
        <f t="shared" si="17"/>
        <v>0.93325358700000027</v>
      </c>
      <c r="R5" s="2">
        <f t="shared" si="18"/>
        <v>8.4766660573771873E-4</v>
      </c>
      <c r="S5" s="2">
        <f t="shared" si="0"/>
        <v>1100.9677397728742</v>
      </c>
      <c r="T5" s="5">
        <f t="shared" si="1"/>
        <v>0.10393745210432283</v>
      </c>
      <c r="U5" s="5">
        <f t="shared" si="2"/>
        <v>980.11710000000016</v>
      </c>
      <c r="V5" s="2">
        <f t="shared" si="19"/>
        <v>962.11710000000016</v>
      </c>
      <c r="W5" s="2">
        <f t="shared" si="3"/>
        <v>897.09112537781812</v>
      </c>
      <c r="X5" s="2">
        <f t="shared" si="4"/>
        <v>1.0187087413787781</v>
      </c>
      <c r="Y5" s="12">
        <f t="shared" si="5"/>
        <v>1.8365152490452414E-2</v>
      </c>
      <c r="Z5" s="2">
        <f t="shared" si="6"/>
        <v>0.91528973974417749</v>
      </c>
      <c r="AA5" s="2">
        <f t="shared" si="7"/>
        <v>0.93241365877170046</v>
      </c>
      <c r="AB5" s="2">
        <f t="shared" si="20"/>
        <v>1.1182905729012811</v>
      </c>
      <c r="AC5" s="2">
        <f t="shared" si="8"/>
        <v>4.5384711864006126</v>
      </c>
      <c r="AD5" s="2">
        <f t="shared" si="9"/>
        <v>0.97174759068975369</v>
      </c>
      <c r="AE5" s="2">
        <f t="shared" si="10"/>
        <v>1.0134788479994234E-2</v>
      </c>
    </row>
    <row r="6" spans="1:31" x14ac:dyDescent="0.3">
      <c r="A6" s="2" t="s">
        <v>47</v>
      </c>
      <c r="B6" s="23" t="s">
        <v>33</v>
      </c>
      <c r="C6" s="23">
        <v>1.8323409021429399E-2</v>
      </c>
      <c r="D6" s="23">
        <v>7.0000000000000007E-2</v>
      </c>
      <c r="F6" s="1">
        <v>9.81</v>
      </c>
      <c r="G6" s="2">
        <v>1030</v>
      </c>
      <c r="H6" s="2">
        <f t="shared" si="11"/>
        <v>9.7000000000000003E-2</v>
      </c>
      <c r="I6" s="3">
        <f t="shared" si="12"/>
        <v>2.8250000000000001E-2</v>
      </c>
      <c r="J6" s="2">
        <v>100</v>
      </c>
      <c r="K6" s="8">
        <v>1</v>
      </c>
      <c r="L6" s="2">
        <v>21</v>
      </c>
      <c r="M6" s="4">
        <f t="shared" si="13"/>
        <v>1.7168141592920354</v>
      </c>
      <c r="N6" s="2">
        <f t="shared" si="14"/>
        <v>2.4778761061946906</v>
      </c>
      <c r="O6" s="1">
        <f t="shared" si="15"/>
        <v>1.4778761061946906</v>
      </c>
      <c r="P6" s="2">
        <f t="shared" si="16"/>
        <v>0.18890112393226183</v>
      </c>
      <c r="Q6" s="2">
        <f t="shared" si="17"/>
        <v>0.93034358700000008</v>
      </c>
      <c r="R6" s="2">
        <f t="shared" si="18"/>
        <v>1.0959810800026764E-3</v>
      </c>
      <c r="S6" s="2">
        <f t="shared" si="0"/>
        <v>848.86829159288789</v>
      </c>
      <c r="T6" s="5">
        <f t="shared" si="1"/>
        <v>0.10426255563580296</v>
      </c>
      <c r="U6" s="5">
        <f t="shared" si="2"/>
        <v>980.11710000000016</v>
      </c>
      <c r="V6" s="2">
        <f t="shared" si="19"/>
        <v>959.11710000000005</v>
      </c>
      <c r="W6" s="2">
        <f t="shared" si="3"/>
        <v>891.50536556818747</v>
      </c>
      <c r="X6" s="2">
        <f t="shared" si="4"/>
        <v>1.0218951366835187</v>
      </c>
      <c r="Y6" s="12">
        <f t="shared" si="5"/>
        <v>2.1426011238861148E-2</v>
      </c>
      <c r="Z6" s="2">
        <f t="shared" si="6"/>
        <v>0.90959066581757153</v>
      </c>
      <c r="AA6" s="2">
        <f t="shared" si="7"/>
        <v>0.92950627777170003</v>
      </c>
      <c r="AB6" s="2">
        <f t="shared" si="20"/>
        <v>1.1189892742650605</v>
      </c>
      <c r="AC6" s="2">
        <f t="shared" si="8"/>
        <v>4.3111584604061175</v>
      </c>
      <c r="AD6" s="2">
        <f t="shared" si="9"/>
        <v>0.97024303925221933</v>
      </c>
      <c r="AE6" s="2">
        <f t="shared" si="10"/>
        <v>1.0134788479994234E-2</v>
      </c>
    </row>
    <row r="7" spans="1:31" x14ac:dyDescent="0.3">
      <c r="A7" s="2" t="s">
        <v>47</v>
      </c>
      <c r="B7" s="23" t="s">
        <v>33</v>
      </c>
      <c r="C7" s="23">
        <v>2.4006373924264999E-2</v>
      </c>
      <c r="D7" s="23">
        <v>6.5000000000000002E-2</v>
      </c>
      <c r="F7" s="2">
        <v>9.81</v>
      </c>
      <c r="G7" s="2">
        <v>1030</v>
      </c>
      <c r="H7" s="2">
        <f t="shared" si="11"/>
        <v>9.7000000000000003E-2</v>
      </c>
      <c r="I7" s="3">
        <f t="shared" si="12"/>
        <v>2.8250000000000001E-2</v>
      </c>
      <c r="J7" s="2">
        <v>100</v>
      </c>
      <c r="K7" s="8">
        <v>1</v>
      </c>
      <c r="L7" s="2">
        <v>28</v>
      </c>
      <c r="M7" s="4">
        <f t="shared" si="13"/>
        <v>1.7168141592920354</v>
      </c>
      <c r="N7" s="2">
        <f t="shared" si="14"/>
        <v>2.3008849557522124</v>
      </c>
      <c r="O7" s="1">
        <f t="shared" si="15"/>
        <v>1.3008849557522124</v>
      </c>
      <c r="P7" s="2">
        <f t="shared" si="16"/>
        <v>0.24748839097180411</v>
      </c>
      <c r="Q7" s="2">
        <f t="shared" si="17"/>
        <v>0.92355358700000023</v>
      </c>
      <c r="R7" s="2">
        <f t="shared" si="18"/>
        <v>1.770248702068685E-3</v>
      </c>
      <c r="S7" s="2">
        <f t="shared" si="0"/>
        <v>521.70838251187524</v>
      </c>
      <c r="T7" s="5">
        <f t="shared" si="1"/>
        <v>0.10502909778639621</v>
      </c>
      <c r="U7" s="5">
        <f t="shared" si="2"/>
        <v>980.11710000000016</v>
      </c>
      <c r="V7" s="2">
        <f t="shared" si="19"/>
        <v>952.11710000000028</v>
      </c>
      <c r="W7" s="2">
        <f t="shared" si="3"/>
        <v>878.53976490238404</v>
      </c>
      <c r="X7" s="2">
        <f t="shared" si="4"/>
        <v>1.0294081473801908</v>
      </c>
      <c r="Y7" s="12">
        <f t="shared" si="5"/>
        <v>2.8568014985148198E-2</v>
      </c>
      <c r="Z7" s="2">
        <f t="shared" si="6"/>
        <v>0.89636204174213863</v>
      </c>
      <c r="AA7" s="2">
        <f t="shared" si="7"/>
        <v>0.92272238877170021</v>
      </c>
      <c r="AB7" s="2">
        <f t="shared" si="20"/>
        <v>1.1206298268466848</v>
      </c>
      <c r="AC7" s="2">
        <f t="shared" si="8"/>
        <v>3.9169474086832285</v>
      </c>
      <c r="AD7" s="2">
        <f t="shared" si="9"/>
        <v>0.96742714623625148</v>
      </c>
      <c r="AE7" s="2">
        <f t="shared" si="10"/>
        <v>1.0134788479994234E-2</v>
      </c>
    </row>
    <row r="8" spans="1:31" x14ac:dyDescent="0.3">
      <c r="A8" s="2" t="s">
        <v>47</v>
      </c>
      <c r="B8" s="23" t="s">
        <v>33</v>
      </c>
      <c r="C8" s="23">
        <v>2.6979338854154499E-2</v>
      </c>
      <c r="D8" s="23">
        <v>0.05</v>
      </c>
      <c r="F8" s="1">
        <v>9.81</v>
      </c>
      <c r="G8" s="2">
        <v>1030</v>
      </c>
      <c r="H8" s="2">
        <f t="shared" si="11"/>
        <v>9.7000000000000003E-2</v>
      </c>
      <c r="I8" s="3">
        <f t="shared" si="12"/>
        <v>2.8250000000000001E-2</v>
      </c>
      <c r="J8" s="2">
        <v>100</v>
      </c>
      <c r="K8" s="8">
        <v>1</v>
      </c>
      <c r="L8" s="2">
        <v>50</v>
      </c>
      <c r="M8" s="4">
        <f t="shared" si="13"/>
        <v>1.7168141592920354</v>
      </c>
      <c r="N8" s="2">
        <f t="shared" si="14"/>
        <v>1.7699115044247788</v>
      </c>
      <c r="O8" s="1">
        <f t="shared" si="15"/>
        <v>0.76991150442477885</v>
      </c>
      <c r="P8" s="2">
        <f t="shared" si="16"/>
        <v>0.27813751396035563</v>
      </c>
      <c r="Q8" s="2">
        <f t="shared" si="17"/>
        <v>0.90221358700000021</v>
      </c>
      <c r="R8" s="2">
        <f t="shared" si="18"/>
        <v>4.6528698678831972E-3</v>
      </c>
      <c r="S8" s="2">
        <f t="shared" si="0"/>
        <v>193.90475397294065</v>
      </c>
      <c r="T8" s="5">
        <f t="shared" si="1"/>
        <v>0.1075133442875096</v>
      </c>
      <c r="U8" s="5">
        <f t="shared" si="2"/>
        <v>980.11710000000016</v>
      </c>
      <c r="V8" s="2">
        <f t="shared" si="19"/>
        <v>930.11710000000016</v>
      </c>
      <c r="W8" s="2">
        <f t="shared" si="3"/>
        <v>838.40903726442923</v>
      </c>
      <c r="X8" s="2">
        <f t="shared" si="4"/>
        <v>1.0537566721437548</v>
      </c>
      <c r="Y8" s="12">
        <f t="shared" si="5"/>
        <v>5.1014312473478929E-2</v>
      </c>
      <c r="Z8" s="2">
        <f t="shared" si="6"/>
        <v>0.85541721215192457</v>
      </c>
      <c r="AA8" s="2">
        <f t="shared" si="7"/>
        <v>0.90140159477170034</v>
      </c>
      <c r="AB8" s="2">
        <f t="shared" si="20"/>
        <v>1.1258816081997285</v>
      </c>
      <c r="AC8" s="2">
        <f t="shared" si="8"/>
        <v>3.2285715551058813</v>
      </c>
      <c r="AD8" s="2">
        <f t="shared" si="9"/>
        <v>0.96169495226990265</v>
      </c>
      <c r="AE8" s="2">
        <f t="shared" si="10"/>
        <v>1.0134788479994243E-2</v>
      </c>
    </row>
    <row r="9" spans="1:31" x14ac:dyDescent="0.3">
      <c r="A9" s="2" t="s">
        <v>47</v>
      </c>
      <c r="B9" s="23" t="s">
        <v>33</v>
      </c>
      <c r="C9" s="23">
        <v>5.1033598372430801E-2</v>
      </c>
      <c r="D9" s="23">
        <v>4.4999999999999998E-2</v>
      </c>
      <c r="F9" s="1">
        <v>9.81</v>
      </c>
      <c r="G9" s="2">
        <v>1030</v>
      </c>
      <c r="H9" s="2">
        <f t="shared" si="11"/>
        <v>9.7000000000000003E-2</v>
      </c>
      <c r="I9" s="3">
        <f t="shared" si="12"/>
        <v>2.8250000000000001E-2</v>
      </c>
      <c r="J9" s="2">
        <v>100</v>
      </c>
      <c r="K9" s="8">
        <v>1</v>
      </c>
      <c r="L9" s="2">
        <v>64</v>
      </c>
      <c r="M9" s="4">
        <f t="shared" si="13"/>
        <v>1.7168141592920354</v>
      </c>
      <c r="N9" s="2">
        <f t="shared" si="14"/>
        <v>1.5929203539823007</v>
      </c>
      <c r="O9" s="1">
        <f t="shared" si="15"/>
        <v>0.5929203539823007</v>
      </c>
      <c r="P9" s="2">
        <f t="shared" si="16"/>
        <v>0.5261195708498021</v>
      </c>
      <c r="Q9" s="2">
        <f t="shared" si="17"/>
        <v>0.88863358700000017</v>
      </c>
      <c r="R9" s="2">
        <f t="shared" si="18"/>
        <v>7.0210843248051926E-3</v>
      </c>
      <c r="S9" s="2">
        <f t="shared" si="0"/>
        <v>126.56643132179676</v>
      </c>
      <c r="T9" s="5">
        <f t="shared" si="1"/>
        <v>0.10915635130050512</v>
      </c>
      <c r="U9" s="5">
        <f t="shared" si="2"/>
        <v>980.11710000000016</v>
      </c>
      <c r="V9" s="2">
        <f t="shared" si="19"/>
        <v>916.11710000000016</v>
      </c>
      <c r="W9" s="2">
        <f t="shared" si="3"/>
        <v>813.35974150282141</v>
      </c>
      <c r="X9" s="2">
        <f t="shared" si="4"/>
        <v>1.0698600648323233</v>
      </c>
      <c r="Y9" s="12">
        <f t="shared" si="5"/>
        <v>6.5298319966053023E-2</v>
      </c>
      <c r="Z9" s="2">
        <f t="shared" si="6"/>
        <v>0.82985976012745954</v>
      </c>
      <c r="AA9" s="2">
        <f t="shared" si="7"/>
        <v>0.88783381677170015</v>
      </c>
      <c r="AB9" s="2">
        <f t="shared" si="20"/>
        <v>1.129301883900804</v>
      </c>
      <c r="AC9" s="2">
        <f t="shared" si="8"/>
        <v>2.9735398261561117</v>
      </c>
      <c r="AD9" s="2">
        <f t="shared" si="9"/>
        <v>0.95921549944618001</v>
      </c>
      <c r="AE9" s="2">
        <f t="shared" si="10"/>
        <v>1.0134788479994234E-2</v>
      </c>
    </row>
    <row r="10" spans="1:31" x14ac:dyDescent="0.3">
      <c r="A10" s="2" t="s">
        <v>47</v>
      </c>
      <c r="B10" s="23" t="s">
        <v>33</v>
      </c>
      <c r="C10" s="23">
        <v>9.7000000000000003E-2</v>
      </c>
      <c r="D10" s="23">
        <v>3.2000000000000001E-2</v>
      </c>
      <c r="F10" s="1">
        <v>9.81</v>
      </c>
      <c r="G10" s="2">
        <v>1030</v>
      </c>
      <c r="H10" s="2">
        <f t="shared" si="11"/>
        <v>9.7000000000000003E-2</v>
      </c>
      <c r="I10" s="3">
        <f t="shared" si="12"/>
        <v>2.8250000000000001E-2</v>
      </c>
      <c r="J10" s="2">
        <v>100</v>
      </c>
      <c r="K10" s="8">
        <v>1</v>
      </c>
      <c r="L10" s="2">
        <v>100</v>
      </c>
      <c r="M10" s="4">
        <f t="shared" si="13"/>
        <v>1.7168141592920354</v>
      </c>
      <c r="N10" s="2">
        <f t="shared" si="14"/>
        <v>1.1327433628318584</v>
      </c>
      <c r="O10" s="1">
        <f>N10-1</f>
        <v>0.13274336283185839</v>
      </c>
      <c r="P10" s="2">
        <f t="shared" si="16"/>
        <v>1</v>
      </c>
      <c r="Q10" s="2">
        <f t="shared" si="17"/>
        <v>0.85371358700000011</v>
      </c>
      <c r="R10" s="2">
        <f>(((L10^(((2*K10)+3)/3))*(H10^K10)*(1/J10))/((U10*M10)^(2*K10/3)))^(1/K10)</f>
        <v>1.4771941045897853E-2</v>
      </c>
      <c r="S10" s="2">
        <f>Q10/R10</f>
        <v>57.792918638615546</v>
      </c>
      <c r="T10" s="5">
        <f>(J10+(L10*H10/Q10))/U10</f>
        <v>0.11362124426397348</v>
      </c>
      <c r="U10" s="5">
        <f>F10*G10*H10</f>
        <v>980.11710000000016</v>
      </c>
      <c r="V10" s="2">
        <f>J10*((Q10/H10)^(K10))</f>
        <v>880.11710000000005</v>
      </c>
      <c r="W10" s="2">
        <f>G10*Q10*Q10</f>
        <v>750.69169528725888</v>
      </c>
      <c r="X10" s="2">
        <f>U10/V10</f>
        <v>1.1136212442639737</v>
      </c>
      <c r="Y10" s="12">
        <f>L10/U10</f>
        <v>0.10202862494695786</v>
      </c>
      <c r="Z10" s="2">
        <f>W10/U10</f>
        <v>0.76592041429259705</v>
      </c>
      <c r="AA10" s="2">
        <f>W10/V10</f>
        <v>0.85294524477170008</v>
      </c>
      <c r="AB10" s="2">
        <f>(X10*M10)^((1)/((2*K10)+3))</f>
        <v>1.1383928483442121</v>
      </c>
      <c r="AC10" s="2">
        <f>((1/Y10)*M10)^(1/3)</f>
        <v>2.562518941464841</v>
      </c>
      <c r="AD10" s="2">
        <f t="shared" si="9"/>
        <v>0.95463004431305742</v>
      </c>
      <c r="AE10" s="2">
        <f t="shared" si="10"/>
        <v>1.0134788479994243E-2</v>
      </c>
    </row>
    <row r="11" spans="1:31" x14ac:dyDescent="0.3">
      <c r="H11" s="11"/>
      <c r="K11" s="10"/>
    </row>
    <row r="12" spans="1:31" x14ac:dyDescent="0.3">
      <c r="H12" s="11"/>
      <c r="K12" s="10"/>
    </row>
    <row r="13" spans="1:31" x14ac:dyDescent="0.3">
      <c r="H13" s="11"/>
      <c r="K13" s="10"/>
    </row>
    <row r="14" spans="1:31" x14ac:dyDescent="0.3">
      <c r="H14" s="11"/>
      <c r="K14" s="10"/>
    </row>
    <row r="15" spans="1:31" x14ac:dyDescent="0.3">
      <c r="E15" s="16"/>
      <c r="H15" s="11"/>
      <c r="K15" s="10"/>
    </row>
    <row r="16" spans="1:31" x14ac:dyDescent="0.3">
      <c r="E16" s="16"/>
      <c r="H16" s="11"/>
      <c r="K16" s="10"/>
    </row>
    <row r="17" spans="5:11" x14ac:dyDescent="0.3">
      <c r="E17" s="16"/>
      <c r="H17" s="11"/>
      <c r="K17" s="10"/>
    </row>
    <row r="18" spans="5:11" x14ac:dyDescent="0.3">
      <c r="E18" s="16"/>
      <c r="H18" s="11"/>
      <c r="K18" s="10"/>
    </row>
    <row r="19" spans="5:11" x14ac:dyDescent="0.3">
      <c r="E19" s="16"/>
      <c r="H19" s="11"/>
      <c r="K19" s="10"/>
    </row>
    <row r="20" spans="5:11" x14ac:dyDescent="0.3">
      <c r="E20" s="16"/>
      <c r="H20" s="11"/>
      <c r="K20" s="10"/>
    </row>
    <row r="21" spans="5:11" x14ac:dyDescent="0.3">
      <c r="E21" s="16"/>
      <c r="H21" s="11"/>
      <c r="K21" s="10"/>
    </row>
    <row r="22" spans="5:11" x14ac:dyDescent="0.3">
      <c r="E22" s="16"/>
      <c r="H22" s="11"/>
      <c r="K22" s="10"/>
    </row>
    <row r="23" spans="5:11" x14ac:dyDescent="0.3">
      <c r="H23" s="11"/>
      <c r="K23" s="10"/>
    </row>
    <row r="24" spans="5:11" x14ac:dyDescent="0.3">
      <c r="H24" s="11"/>
      <c r="K24" s="10"/>
    </row>
    <row r="25" spans="5:11" x14ac:dyDescent="0.3">
      <c r="H25" s="11"/>
      <c r="K25" s="10"/>
    </row>
    <row r="26" spans="5:11" x14ac:dyDescent="0.3">
      <c r="H26" s="11"/>
      <c r="K26" s="10"/>
    </row>
    <row r="27" spans="5:11" x14ac:dyDescent="0.3">
      <c r="H27" s="11"/>
      <c r="K27" s="10"/>
    </row>
    <row r="28" spans="5:11" x14ac:dyDescent="0.3">
      <c r="H28" s="11"/>
      <c r="K28" s="10"/>
    </row>
    <row r="29" spans="5:11" x14ac:dyDescent="0.3">
      <c r="H29" s="11"/>
      <c r="K29" s="10"/>
    </row>
    <row r="30" spans="5:11" x14ac:dyDescent="0.3">
      <c r="H30" s="11"/>
      <c r="K30" s="10"/>
    </row>
    <row r="31" spans="5:11" x14ac:dyDescent="0.3">
      <c r="H31" s="11"/>
      <c r="K31" s="10"/>
    </row>
    <row r="32" spans="5:11" x14ac:dyDescent="0.3">
      <c r="H32" s="11"/>
      <c r="K32" s="10"/>
    </row>
    <row r="33" spans="8:11" x14ac:dyDescent="0.3">
      <c r="H33" s="11"/>
      <c r="K33" s="10"/>
    </row>
    <row r="34" spans="8:11" x14ac:dyDescent="0.3">
      <c r="H34" s="11"/>
      <c r="K34" s="10"/>
    </row>
    <row r="35" spans="8:11" x14ac:dyDescent="0.3">
      <c r="H35" s="11"/>
      <c r="K35" s="10"/>
    </row>
    <row r="36" spans="8:11" x14ac:dyDescent="0.3">
      <c r="H36" s="11"/>
      <c r="K36" s="10"/>
    </row>
    <row r="37" spans="8:11" x14ac:dyDescent="0.3">
      <c r="H37" s="11"/>
      <c r="K37" s="10"/>
    </row>
    <row r="38" spans="8:11" x14ac:dyDescent="0.3">
      <c r="H38" s="11"/>
      <c r="K38" s="10"/>
    </row>
    <row r="39" spans="8:11" x14ac:dyDescent="0.3">
      <c r="H39" s="11"/>
      <c r="K39" s="10"/>
    </row>
    <row r="40" spans="8:11" x14ac:dyDescent="0.3">
      <c r="H40" s="11"/>
      <c r="K40" s="10"/>
    </row>
    <row r="41" spans="8:11" x14ac:dyDescent="0.3">
      <c r="H41" s="11"/>
      <c r="K41" s="10"/>
    </row>
    <row r="42" spans="8:11" x14ac:dyDescent="0.3">
      <c r="H42" s="11"/>
      <c r="K42" s="10"/>
    </row>
    <row r="43" spans="8:11" x14ac:dyDescent="0.3">
      <c r="H43" s="11"/>
      <c r="K43" s="10"/>
    </row>
    <row r="44" spans="8:11" x14ac:dyDescent="0.3">
      <c r="H44" s="11"/>
      <c r="K44" s="10"/>
    </row>
  </sheetData>
  <mergeCells count="2">
    <mergeCell ref="A1:D1"/>
    <mergeCell ref="F1:AE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76"/>
  <sheetViews>
    <sheetView topLeftCell="H1" zoomScaleNormal="100" workbookViewId="0">
      <selection activeCell="U4" sqref="U4"/>
    </sheetView>
  </sheetViews>
  <sheetFormatPr baseColWidth="10" defaultColWidth="8.88671875" defaultRowHeight="14.4" x14ac:dyDescent="0.3"/>
  <cols>
    <col min="1" max="1" width="14.88671875" style="16" bestFit="1" customWidth="1"/>
    <col min="2" max="2" width="13.88671875" style="16" customWidth="1"/>
    <col min="3" max="3" width="13.5546875" customWidth="1"/>
    <col min="4" max="4" width="23.44140625" customWidth="1"/>
    <col min="5" max="5" width="22.88671875" customWidth="1"/>
    <col min="6" max="6" width="15.88671875" customWidth="1"/>
    <col min="7" max="7" width="9.109375" style="16"/>
    <col min="9" max="9" width="11.109375" customWidth="1"/>
    <col min="15" max="15" width="12.33203125" customWidth="1"/>
    <col min="16" max="16" width="12.6640625" bestFit="1" customWidth="1"/>
    <col min="17" max="17" width="12" bestFit="1" customWidth="1"/>
    <col min="18" max="18" width="12" style="16" customWidth="1"/>
    <col min="19" max="19" width="12.6640625" bestFit="1" customWidth="1"/>
    <col min="20" max="20" width="14.5546875" customWidth="1"/>
    <col min="21" max="22" width="12" bestFit="1" customWidth="1"/>
    <col min="23" max="25" width="12.6640625" bestFit="1" customWidth="1"/>
    <col min="29" max="29" width="17" bestFit="1" customWidth="1"/>
    <col min="30" max="31" width="16.6640625" bestFit="1" customWidth="1"/>
    <col min="32" max="32" width="23.88671875" bestFit="1" customWidth="1"/>
    <col min="33" max="33" width="16.6640625" bestFit="1" customWidth="1"/>
  </cols>
  <sheetData>
    <row r="1" spans="1:33" ht="15" thickBot="1" x14ac:dyDescent="0.35">
      <c r="A1" s="36" t="s">
        <v>22</v>
      </c>
      <c r="B1" s="37"/>
      <c r="C1" s="37"/>
      <c r="D1" s="37"/>
      <c r="E1" s="37"/>
      <c r="F1" s="38"/>
      <c r="H1" s="33" t="s">
        <v>23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5"/>
    </row>
    <row r="2" spans="1:33" ht="20.399999999999999" thickBot="1" x14ac:dyDescent="0.35">
      <c r="A2" s="17" t="s">
        <v>37</v>
      </c>
      <c r="B2" s="17" t="s">
        <v>35</v>
      </c>
      <c r="C2" s="25" t="s">
        <v>18</v>
      </c>
      <c r="D2" s="26" t="s">
        <v>38</v>
      </c>
      <c r="E2" s="26" t="s">
        <v>41</v>
      </c>
      <c r="F2" s="25" t="s">
        <v>1</v>
      </c>
      <c r="H2" s="6" t="s">
        <v>6</v>
      </c>
      <c r="I2" s="6" t="s">
        <v>8</v>
      </c>
      <c r="J2" s="6" t="s">
        <v>9</v>
      </c>
      <c r="K2" s="6" t="s">
        <v>14</v>
      </c>
      <c r="L2" s="6" t="s">
        <v>7</v>
      </c>
      <c r="M2" s="6" t="s">
        <v>19</v>
      </c>
      <c r="N2" s="6" t="s">
        <v>4</v>
      </c>
      <c r="O2" s="20" t="s">
        <v>2</v>
      </c>
      <c r="P2" s="6" t="s">
        <v>38</v>
      </c>
      <c r="Q2" s="6" t="s">
        <v>39</v>
      </c>
      <c r="R2" s="6" t="s">
        <v>40</v>
      </c>
      <c r="S2" s="6" t="s">
        <v>10</v>
      </c>
      <c r="T2" s="6" t="s">
        <v>15</v>
      </c>
      <c r="U2" s="6" t="s">
        <v>16</v>
      </c>
      <c r="V2" s="15" t="s">
        <v>17</v>
      </c>
      <c r="W2" s="21" t="s">
        <v>3</v>
      </c>
      <c r="X2" s="6" t="s">
        <v>21</v>
      </c>
      <c r="Y2" s="6" t="s">
        <v>13</v>
      </c>
      <c r="Z2" s="6" t="s">
        <v>0</v>
      </c>
      <c r="AA2" s="6" t="s">
        <v>1</v>
      </c>
      <c r="AB2" s="6" t="s">
        <v>12</v>
      </c>
      <c r="AC2" s="6" t="s">
        <v>11</v>
      </c>
      <c r="AD2" s="6" t="s">
        <v>20</v>
      </c>
      <c r="AE2" s="6" t="s">
        <v>5</v>
      </c>
      <c r="AF2" s="6" t="s">
        <v>27</v>
      </c>
      <c r="AG2" s="6" t="s">
        <v>28</v>
      </c>
    </row>
    <row r="3" spans="1:33" x14ac:dyDescent="0.3">
      <c r="A3" s="2" t="s">
        <v>53</v>
      </c>
      <c r="B3" s="2" t="s">
        <v>33</v>
      </c>
      <c r="C3" s="5">
        <v>0.5</v>
      </c>
      <c r="D3" s="2">
        <v>2.7333333333333298</v>
      </c>
      <c r="E3" s="2">
        <v>0.76602564102564097</v>
      </c>
      <c r="F3" s="2">
        <v>1.83126110124333E-2</v>
      </c>
      <c r="H3" s="2">
        <v>9.81</v>
      </c>
      <c r="I3" s="2">
        <v>1315</v>
      </c>
      <c r="J3" s="3">
        <f t="shared" ref="J3:J36" si="0">N3/(H3*I3*F3)</f>
        <v>7.6195175634109519E-2</v>
      </c>
      <c r="K3" s="2">
        <f t="shared" ref="K3:K36" si="1">J3*C3</f>
        <v>3.8097587817054759E-2</v>
      </c>
      <c r="L3" s="2">
        <v>0.4</v>
      </c>
      <c r="M3" s="8">
        <v>1</v>
      </c>
      <c r="N3" s="2">
        <v>18</v>
      </c>
      <c r="O3" s="4">
        <f t="shared" ref="O3:O26" si="2">J3/K3</f>
        <v>2</v>
      </c>
      <c r="P3" s="2">
        <f t="shared" ref="P3:P36" si="3">(D3*K3)/K3</f>
        <v>2.7333333333333298</v>
      </c>
      <c r="Q3" s="2">
        <f>P3-1</f>
        <v>1.7333333333333298</v>
      </c>
      <c r="R3" s="2">
        <f t="shared" ref="R3:R36" si="4">1-E3</f>
        <v>0.23397435897435903</v>
      </c>
      <c r="S3" s="2">
        <f t="shared" ref="S3:S36" si="5">(((W3-N3)*(J3^M3))/(L3))^(1/M3)</f>
        <v>183.80737371044901</v>
      </c>
      <c r="T3" s="2">
        <f t="shared" ref="T3:T36" si="6">(((N3^(((2*M3)+3)/3))*(J3^M3)*(1/L3))/((W3*O3)^(2*M3/3)))^(1/M3)</f>
        <v>0.15006756581659503</v>
      </c>
      <c r="U3" s="2">
        <f t="shared" ref="U3:U8" si="7">S3/T3</f>
        <v>1224.8307801239948</v>
      </c>
      <c r="V3" s="5">
        <f t="shared" ref="V3:V36" si="8">(L3+(N3*J3/S3))/W3</f>
        <v>4.1453818797356553E-4</v>
      </c>
      <c r="W3" s="5">
        <f t="shared" ref="W3:W36" si="9">H3*I3*J3</f>
        <v>982.92919495635806</v>
      </c>
      <c r="X3" s="2">
        <f t="shared" ref="X3:X36" si="10">L3*((S3/J3)^(M3))</f>
        <v>964.92919495635806</v>
      </c>
      <c r="Y3" s="2">
        <f t="shared" ref="Y3:Y36" si="11">I3*S3*S3</f>
        <v>44427473.078887455</v>
      </c>
      <c r="Z3" s="2">
        <f t="shared" ref="Z3:Z8" si="12">W3/X3</f>
        <v>1.0186542184588105</v>
      </c>
      <c r="AA3" s="12">
        <f t="shared" ref="AA3:AA36" si="13">N3/W3</f>
        <v>1.83126110124333E-2</v>
      </c>
      <c r="AB3" s="2">
        <f t="shared" ref="AB3:AB8" si="14">Y3/W3</f>
        <v>45199.057375501019</v>
      </c>
      <c r="AC3" s="2">
        <f t="shared" ref="AC3:AC8" si="15">Y3/X3</f>
        <v>46042.210465915923</v>
      </c>
      <c r="AD3" s="2">
        <f t="shared" ref="AD3:AD36" si="16">(Z3*O3)^((1)/((2*M3)+3))</f>
        <v>1.1529523444019509</v>
      </c>
      <c r="AE3" s="2">
        <f t="shared" ref="AE3:AE36" si="17">((1/AA3)*O3)^(1/3)</f>
        <v>4.779985454738144</v>
      </c>
      <c r="AF3" s="2">
        <f>((1/Z3)*(1/O3))^((2)/((2*M3)+3))</f>
        <v>0.75227613833054841</v>
      </c>
      <c r="AG3" s="2">
        <f>((AA3)*(1/O3))^(2/3)</f>
        <v>4.3767007138854376E-2</v>
      </c>
    </row>
    <row r="4" spans="1:33" x14ac:dyDescent="0.3">
      <c r="A4" s="2" t="s">
        <v>53</v>
      </c>
      <c r="B4" s="1" t="s">
        <v>33</v>
      </c>
      <c r="C4" s="31">
        <v>0.5</v>
      </c>
      <c r="D4" s="1">
        <v>2.6519379844961199</v>
      </c>
      <c r="E4" s="1">
        <v>0.77115384615384597</v>
      </c>
      <c r="F4" s="1">
        <v>1.94849023090586E-2</v>
      </c>
      <c r="H4" s="1">
        <v>9.81</v>
      </c>
      <c r="I4" s="2">
        <v>1315</v>
      </c>
      <c r="J4" s="3">
        <f t="shared" si="0"/>
        <v>7.1610962697143649E-2</v>
      </c>
      <c r="K4" s="2">
        <f t="shared" si="1"/>
        <v>3.5805481348571824E-2</v>
      </c>
      <c r="L4" s="2">
        <v>0.4</v>
      </c>
      <c r="M4" s="7">
        <v>1</v>
      </c>
      <c r="N4" s="2">
        <v>18</v>
      </c>
      <c r="O4" s="4">
        <f t="shared" si="2"/>
        <v>2</v>
      </c>
      <c r="P4" s="2">
        <f t="shared" si="3"/>
        <v>2.6519379844961199</v>
      </c>
      <c r="Q4" s="1">
        <f t="shared" ref="Q4:Q36" si="18">P4-1</f>
        <v>1.6519379844961199</v>
      </c>
      <c r="R4" s="2">
        <f t="shared" si="4"/>
        <v>0.22884615384615403</v>
      </c>
      <c r="S4" s="2">
        <f t="shared" si="5"/>
        <v>162.16162153114774</v>
      </c>
      <c r="T4" s="2">
        <f t="shared" si="6"/>
        <v>0.14699554879836357</v>
      </c>
      <c r="U4" s="2">
        <f t="shared" si="7"/>
        <v>1103.1736869365191</v>
      </c>
      <c r="V4" s="5">
        <f t="shared" si="8"/>
        <v>4.4160240888679528E-4</v>
      </c>
      <c r="W4" s="5">
        <f t="shared" si="9"/>
        <v>923.79216043755775</v>
      </c>
      <c r="X4" s="2">
        <f t="shared" si="10"/>
        <v>905.79216043755775</v>
      </c>
      <c r="Y4" s="2">
        <f t="shared" si="11"/>
        <v>34579754.819358729</v>
      </c>
      <c r="Z4" s="2">
        <f t="shared" si="12"/>
        <v>1.0198721083999058</v>
      </c>
      <c r="AA4" s="12">
        <f t="shared" si="13"/>
        <v>1.9484902309058597E-2</v>
      </c>
      <c r="AB4" s="2">
        <f t="shared" si="14"/>
        <v>37432.396918133505</v>
      </c>
      <c r="AC4" s="2">
        <f t="shared" si="15"/>
        <v>38176.257567358953</v>
      </c>
      <c r="AD4" s="2">
        <f t="shared" si="16"/>
        <v>1.1532279036635866</v>
      </c>
      <c r="AE4" s="2">
        <f t="shared" si="17"/>
        <v>4.6821348860029897</v>
      </c>
      <c r="AF4" s="2">
        <f>((1/Z4)*(1/O4))^((2)/((2*M4)+3))</f>
        <v>0.75191667444625176</v>
      </c>
      <c r="AG4" s="2">
        <f>((AA4)*(1/O4))^(2/3)</f>
        <v>4.5615470425801732E-2</v>
      </c>
    </row>
    <row r="5" spans="1:33" x14ac:dyDescent="0.3">
      <c r="A5" s="2" t="s">
        <v>53</v>
      </c>
      <c r="B5" s="1" t="s">
        <v>33</v>
      </c>
      <c r="C5" s="31">
        <v>0.5</v>
      </c>
      <c r="D5" s="1">
        <v>2.63255813953488</v>
      </c>
      <c r="E5" s="1">
        <v>0.729487179487179</v>
      </c>
      <c r="F5" s="1">
        <v>1.94849023090586E-2</v>
      </c>
      <c r="H5" s="2">
        <v>9.81</v>
      </c>
      <c r="I5" s="2">
        <v>1315</v>
      </c>
      <c r="J5" s="3">
        <f t="shared" si="0"/>
        <v>7.1610962697143649E-2</v>
      </c>
      <c r="K5" s="2">
        <f t="shared" si="1"/>
        <v>3.5805481348571824E-2</v>
      </c>
      <c r="L5" s="2">
        <v>0.4</v>
      </c>
      <c r="M5" s="7">
        <v>1</v>
      </c>
      <c r="N5" s="2">
        <v>18</v>
      </c>
      <c r="O5" s="4">
        <f t="shared" si="2"/>
        <v>2</v>
      </c>
      <c r="P5" s="2">
        <f t="shared" si="3"/>
        <v>2.63255813953488</v>
      </c>
      <c r="Q5" s="1">
        <f t="shared" si="18"/>
        <v>1.63255813953488</v>
      </c>
      <c r="R5" s="2">
        <f t="shared" si="4"/>
        <v>0.270512820512821</v>
      </c>
      <c r="S5" s="2">
        <f t="shared" si="5"/>
        <v>162.16162153114774</v>
      </c>
      <c r="T5" s="2">
        <f t="shared" si="6"/>
        <v>0.14699554879836357</v>
      </c>
      <c r="U5" s="2">
        <f t="shared" si="7"/>
        <v>1103.1736869365191</v>
      </c>
      <c r="V5" s="5">
        <f t="shared" si="8"/>
        <v>4.4160240888679528E-4</v>
      </c>
      <c r="W5" s="5">
        <f t="shared" si="9"/>
        <v>923.79216043755775</v>
      </c>
      <c r="X5" s="2">
        <f t="shared" si="10"/>
        <v>905.79216043755775</v>
      </c>
      <c r="Y5" s="2">
        <f t="shared" si="11"/>
        <v>34579754.819358729</v>
      </c>
      <c r="Z5" s="2">
        <f t="shared" si="12"/>
        <v>1.0198721083999058</v>
      </c>
      <c r="AA5" s="12">
        <f t="shared" si="13"/>
        <v>1.9484902309058597E-2</v>
      </c>
      <c r="AB5" s="2">
        <f t="shared" si="14"/>
        <v>37432.396918133505</v>
      </c>
      <c r="AC5" s="2">
        <f t="shared" si="15"/>
        <v>38176.257567358953</v>
      </c>
      <c r="AD5" s="2">
        <f t="shared" si="16"/>
        <v>1.1532279036635866</v>
      </c>
      <c r="AE5" s="2">
        <f t="shared" si="17"/>
        <v>4.6821348860029897</v>
      </c>
      <c r="AF5" s="2">
        <f>((1/Z5)*(1/O5))^((2)/((2*M5)+3))</f>
        <v>0.75191667444625176</v>
      </c>
      <c r="AG5" s="2">
        <f>((AA5)*(1/O5))^(2/3)</f>
        <v>4.5615470425801732E-2</v>
      </c>
    </row>
    <row r="6" spans="1:33" x14ac:dyDescent="0.3">
      <c r="A6" s="2" t="s">
        <v>53</v>
      </c>
      <c r="B6" s="1" t="s">
        <v>33</v>
      </c>
      <c r="C6" s="31">
        <v>0.5</v>
      </c>
      <c r="D6" s="1">
        <v>2.6209302325581301</v>
      </c>
      <c r="E6" s="1">
        <v>0.74166666666666603</v>
      </c>
      <c r="F6" s="1">
        <v>2.1296625222024801E-2</v>
      </c>
      <c r="H6" s="1">
        <v>9.81</v>
      </c>
      <c r="I6" s="2">
        <v>1315</v>
      </c>
      <c r="J6" s="3">
        <f t="shared" si="0"/>
        <v>6.5518954194134088E-2</v>
      </c>
      <c r="K6" s="2">
        <f t="shared" si="1"/>
        <v>3.2759477097067044E-2</v>
      </c>
      <c r="L6" s="2">
        <v>0.4</v>
      </c>
      <c r="M6" s="7">
        <v>1</v>
      </c>
      <c r="N6" s="2">
        <v>18</v>
      </c>
      <c r="O6" s="4">
        <f t="shared" si="2"/>
        <v>2</v>
      </c>
      <c r="P6" s="2">
        <f t="shared" si="3"/>
        <v>2.6209302325581301</v>
      </c>
      <c r="Q6" s="1">
        <f t="shared" si="18"/>
        <v>1.6209302325581301</v>
      </c>
      <c r="R6" s="2">
        <f t="shared" si="4"/>
        <v>0.25833333333333397</v>
      </c>
      <c r="S6" s="2">
        <f t="shared" si="5"/>
        <v>135.49390765412406</v>
      </c>
      <c r="T6" s="2">
        <f t="shared" si="6"/>
        <v>0.14270307521387626</v>
      </c>
      <c r="U6" s="2">
        <f t="shared" si="7"/>
        <v>949.48134404989196</v>
      </c>
      <c r="V6" s="5">
        <f t="shared" si="8"/>
        <v>4.8355645894710369E-4</v>
      </c>
      <c r="W6" s="5">
        <f t="shared" si="9"/>
        <v>845.20433694745896</v>
      </c>
      <c r="X6" s="2">
        <f t="shared" si="10"/>
        <v>827.20433694745907</v>
      </c>
      <c r="Y6" s="2">
        <f t="shared" si="11"/>
        <v>24141557.699970353</v>
      </c>
      <c r="Z6" s="2">
        <f t="shared" si="12"/>
        <v>1.0217600406526195</v>
      </c>
      <c r="AA6" s="12">
        <f t="shared" si="13"/>
        <v>2.1296625222024797E-2</v>
      </c>
      <c r="AB6" s="2">
        <f t="shared" si="14"/>
        <v>28562.983700675311</v>
      </c>
      <c r="AC6" s="2">
        <f t="shared" si="15"/>
        <v>29184.515387162115</v>
      </c>
      <c r="AD6" s="2">
        <f t="shared" si="16"/>
        <v>1.1536545465311276</v>
      </c>
      <c r="AE6" s="2">
        <f t="shared" si="17"/>
        <v>4.5454100635068793</v>
      </c>
      <c r="AF6" s="2">
        <f t="shared" ref="AF6:AF36" si="19">((1/Z6)*(1/O6))^((2)/((2*M6)+3))</f>
        <v>0.75136063179340495</v>
      </c>
      <c r="AG6" s="2">
        <f t="shared" ref="AG6:AG36" si="20">((AA6)*(1/O6))^(2/3)</f>
        <v>4.8400947301462965E-2</v>
      </c>
    </row>
    <row r="7" spans="1:33" x14ac:dyDescent="0.3">
      <c r="A7" s="2" t="s">
        <v>53</v>
      </c>
      <c r="B7" s="1" t="s">
        <v>33</v>
      </c>
      <c r="C7" s="31">
        <v>0.5</v>
      </c>
      <c r="D7" s="1">
        <v>2.5860465116279001</v>
      </c>
      <c r="E7" s="1">
        <v>0.74807692307692297</v>
      </c>
      <c r="F7" s="1">
        <v>2.1296625222024801E-2</v>
      </c>
      <c r="H7" s="2">
        <v>9.81</v>
      </c>
      <c r="I7" s="2">
        <v>1315</v>
      </c>
      <c r="J7" s="3">
        <f t="shared" si="0"/>
        <v>6.5518954194134088E-2</v>
      </c>
      <c r="K7" s="2">
        <f t="shared" si="1"/>
        <v>3.2759477097067044E-2</v>
      </c>
      <c r="L7" s="2">
        <v>0.4</v>
      </c>
      <c r="M7" s="7">
        <v>1</v>
      </c>
      <c r="N7" s="2">
        <v>18</v>
      </c>
      <c r="O7" s="4">
        <f t="shared" si="2"/>
        <v>2</v>
      </c>
      <c r="P7" s="2">
        <f t="shared" si="3"/>
        <v>2.5860465116279001</v>
      </c>
      <c r="Q7" s="1">
        <f t="shared" si="18"/>
        <v>1.5860465116279001</v>
      </c>
      <c r="R7" s="2">
        <f t="shared" si="4"/>
        <v>0.25192307692307703</v>
      </c>
      <c r="S7" s="2">
        <f t="shared" si="5"/>
        <v>135.49390765412406</v>
      </c>
      <c r="T7" s="2">
        <f t="shared" si="6"/>
        <v>0.14270307521387626</v>
      </c>
      <c r="U7" s="2">
        <f t="shared" si="7"/>
        <v>949.48134404989196</v>
      </c>
      <c r="V7" s="5">
        <f t="shared" si="8"/>
        <v>4.8355645894710369E-4</v>
      </c>
      <c r="W7" s="5">
        <f t="shared" si="9"/>
        <v>845.20433694745896</v>
      </c>
      <c r="X7" s="2">
        <f t="shared" si="10"/>
        <v>827.20433694745907</v>
      </c>
      <c r="Y7" s="2">
        <f t="shared" si="11"/>
        <v>24141557.699970353</v>
      </c>
      <c r="Z7" s="2">
        <f t="shared" si="12"/>
        <v>1.0217600406526195</v>
      </c>
      <c r="AA7" s="12">
        <f t="shared" si="13"/>
        <v>2.1296625222024797E-2</v>
      </c>
      <c r="AB7" s="2">
        <f t="shared" si="14"/>
        <v>28562.983700675311</v>
      </c>
      <c r="AC7" s="2">
        <f t="shared" si="15"/>
        <v>29184.515387162115</v>
      </c>
      <c r="AD7" s="2">
        <f t="shared" si="16"/>
        <v>1.1536545465311276</v>
      </c>
      <c r="AE7" s="2">
        <f t="shared" si="17"/>
        <v>4.5454100635068793</v>
      </c>
      <c r="AF7" s="2">
        <f t="shared" si="19"/>
        <v>0.75136063179340495</v>
      </c>
      <c r="AG7" s="2">
        <f t="shared" si="20"/>
        <v>4.8400947301462965E-2</v>
      </c>
    </row>
    <row r="8" spans="1:33" x14ac:dyDescent="0.3">
      <c r="A8" s="2" t="s">
        <v>53</v>
      </c>
      <c r="B8" s="1" t="s">
        <v>33</v>
      </c>
      <c r="C8" s="31">
        <v>0.5</v>
      </c>
      <c r="D8" s="1">
        <v>2.5356589147286801</v>
      </c>
      <c r="E8" s="1">
        <v>0.74166666666666603</v>
      </c>
      <c r="F8" s="1">
        <v>2.0337477797513302E-2</v>
      </c>
      <c r="H8" s="1">
        <v>9.81</v>
      </c>
      <c r="I8" s="2">
        <v>1315</v>
      </c>
      <c r="J8" s="3">
        <f t="shared" si="0"/>
        <v>6.8608931073158602E-2</v>
      </c>
      <c r="K8" s="2">
        <f t="shared" si="1"/>
        <v>3.4304465536579301E-2</v>
      </c>
      <c r="L8" s="2">
        <v>0.4</v>
      </c>
      <c r="M8" s="7">
        <v>1</v>
      </c>
      <c r="N8" s="2">
        <v>18</v>
      </c>
      <c r="O8" s="4">
        <f t="shared" si="2"/>
        <v>2</v>
      </c>
      <c r="P8" s="2">
        <f t="shared" si="3"/>
        <v>2.5356589147286801</v>
      </c>
      <c r="Q8" s="1">
        <f t="shared" si="18"/>
        <v>1.5356589147286801</v>
      </c>
      <c r="R8" s="2">
        <f t="shared" si="4"/>
        <v>0.25833333333333397</v>
      </c>
      <c r="S8" s="2">
        <f t="shared" si="5"/>
        <v>148.72109318803754</v>
      </c>
      <c r="T8" s="2">
        <f t="shared" si="6"/>
        <v>0.1449120713691886</v>
      </c>
      <c r="U8" s="2">
        <f t="shared" si="7"/>
        <v>1026.2850553639855</v>
      </c>
      <c r="V8" s="5">
        <f t="shared" si="8"/>
        <v>4.6132616162531808E-4</v>
      </c>
      <c r="W8" s="5">
        <f t="shared" si="9"/>
        <v>885.06550218340703</v>
      </c>
      <c r="X8" s="2">
        <f t="shared" si="10"/>
        <v>867.06550218340692</v>
      </c>
      <c r="Y8" s="2">
        <f t="shared" si="11"/>
        <v>29085122.080144107</v>
      </c>
      <c r="Z8" s="2">
        <f t="shared" si="12"/>
        <v>1.0207596772731395</v>
      </c>
      <c r="AA8" s="12">
        <f t="shared" si="13"/>
        <v>2.0337477797513302E-2</v>
      </c>
      <c r="AB8" s="2">
        <f t="shared" si="14"/>
        <v>32862.112474605259</v>
      </c>
      <c r="AC8" s="2">
        <f t="shared" si="15"/>
        <v>33544.319324091673</v>
      </c>
      <c r="AD8" s="2">
        <f t="shared" si="16"/>
        <v>1.1534285588347617</v>
      </c>
      <c r="AE8" s="2">
        <f t="shared" si="17"/>
        <v>4.6157714999339223</v>
      </c>
      <c r="AF8" s="2">
        <f t="shared" si="19"/>
        <v>0.75165508417373239</v>
      </c>
      <c r="AG8" s="2">
        <f t="shared" si="20"/>
        <v>4.6936575199150413E-2</v>
      </c>
    </row>
    <row r="9" spans="1:33" x14ac:dyDescent="0.3">
      <c r="A9" s="2" t="s">
        <v>53</v>
      </c>
      <c r="B9" s="1" t="s">
        <v>33</v>
      </c>
      <c r="C9" s="31">
        <v>0.5</v>
      </c>
      <c r="D9" s="1">
        <v>2.5046511627906902</v>
      </c>
      <c r="E9" s="1">
        <v>0.72179487179487101</v>
      </c>
      <c r="F9" s="1">
        <v>2.7477797513321401E-2</v>
      </c>
      <c r="H9" s="1">
        <v>9.81</v>
      </c>
      <c r="I9" s="2">
        <v>1315</v>
      </c>
      <c r="J9" s="3">
        <f t="shared" si="0"/>
        <v>5.0780365920340513E-2</v>
      </c>
      <c r="K9" s="2">
        <f t="shared" si="1"/>
        <v>2.5390182960170257E-2</v>
      </c>
      <c r="L9" s="2">
        <v>0.4</v>
      </c>
      <c r="M9" s="7">
        <v>1</v>
      </c>
      <c r="N9" s="2">
        <v>18</v>
      </c>
      <c r="O9" s="4">
        <f t="shared" si="2"/>
        <v>2</v>
      </c>
      <c r="P9" s="2">
        <f t="shared" si="3"/>
        <v>2.5046511627906902</v>
      </c>
      <c r="Q9" s="1">
        <f t="shared" si="18"/>
        <v>1.5046511627906902</v>
      </c>
      <c r="R9" s="2">
        <f t="shared" si="4"/>
        <v>0.27820512820512899</v>
      </c>
      <c r="S9" s="2">
        <f t="shared" si="5"/>
        <v>80.877169932539502</v>
      </c>
      <c r="T9" s="2">
        <f t="shared" si="6"/>
        <v>0.13108196867565503</v>
      </c>
      <c r="U9" s="2">
        <f t="shared" ref="U9:U26" si="21">S9/T9</f>
        <v>616.99691231110012</v>
      </c>
      <c r="V9" s="5">
        <f t="shared" si="8"/>
        <v>6.278702130984177E-4</v>
      </c>
      <c r="W9" s="5">
        <f t="shared" si="9"/>
        <v>655.07433742728074</v>
      </c>
      <c r="X9" s="2">
        <f t="shared" si="10"/>
        <v>637.07433742728085</v>
      </c>
      <c r="Y9" s="2">
        <f t="shared" si="11"/>
        <v>8601568.3504303861</v>
      </c>
      <c r="Z9" s="2">
        <f t="shared" ref="Z9:Z26" si="22">W9/X9</f>
        <v>1.0282541595894286</v>
      </c>
      <c r="AA9" s="12">
        <f t="shared" si="13"/>
        <v>2.7477797513321401E-2</v>
      </c>
      <c r="AB9" s="2">
        <f t="shared" ref="AB9:AB26" si="23">Y9/W9</f>
        <v>13130.67519056223</v>
      </c>
      <c r="AC9" s="2">
        <f t="shared" ref="AC9:AC26" si="24">Y9/X9</f>
        <v>13501.671382913326</v>
      </c>
      <c r="AD9" s="2">
        <f t="shared" si="16"/>
        <v>1.1551173156394952</v>
      </c>
      <c r="AE9" s="2">
        <f t="shared" si="17"/>
        <v>4.175251995583336</v>
      </c>
      <c r="AF9" s="2">
        <f t="shared" si="19"/>
        <v>0.74945888344065348</v>
      </c>
      <c r="AG9" s="2">
        <f t="shared" si="20"/>
        <v>5.7363364450865005E-2</v>
      </c>
    </row>
    <row r="10" spans="1:33" x14ac:dyDescent="0.3">
      <c r="A10" s="2" t="s">
        <v>53</v>
      </c>
      <c r="B10" s="1" t="s">
        <v>33</v>
      </c>
      <c r="C10" s="31">
        <v>0.5</v>
      </c>
      <c r="D10" s="1">
        <v>2.52790697674418</v>
      </c>
      <c r="E10" s="1">
        <v>0.72756410256410198</v>
      </c>
      <c r="F10" s="1">
        <v>2.81172291296625E-2</v>
      </c>
      <c r="H10" s="1">
        <v>9.81</v>
      </c>
      <c r="I10" s="2">
        <v>1315</v>
      </c>
      <c r="J10" s="3">
        <f t="shared" si="0"/>
        <v>4.9625537636618179E-2</v>
      </c>
      <c r="K10" s="2">
        <f t="shared" si="1"/>
        <v>2.481276881830909E-2</v>
      </c>
      <c r="L10" s="2">
        <v>0.4</v>
      </c>
      <c r="M10" s="7">
        <v>1</v>
      </c>
      <c r="N10" s="2">
        <v>18</v>
      </c>
      <c r="O10" s="4">
        <f t="shared" si="2"/>
        <v>2</v>
      </c>
      <c r="P10" s="2">
        <f t="shared" si="3"/>
        <v>2.52790697674418</v>
      </c>
      <c r="Q10" s="1">
        <f t="shared" si="18"/>
        <v>1.52790697674418</v>
      </c>
      <c r="R10" s="2">
        <f t="shared" si="4"/>
        <v>0.27243589743589802</v>
      </c>
      <c r="S10" s="2">
        <f t="shared" si="5"/>
        <v>77.189655356176729</v>
      </c>
      <c r="T10" s="2">
        <f t="shared" si="6"/>
        <v>0.130080666926502</v>
      </c>
      <c r="U10" s="2">
        <f t="shared" si="21"/>
        <v>593.39836718234483</v>
      </c>
      <c r="V10" s="5">
        <f t="shared" si="8"/>
        <v>6.4290399286835449E-4</v>
      </c>
      <c r="W10" s="5">
        <f t="shared" si="9"/>
        <v>640.17687934302012</v>
      </c>
      <c r="X10" s="2">
        <f t="shared" si="10"/>
        <v>622.17687934302012</v>
      </c>
      <c r="Y10" s="2">
        <f t="shared" si="11"/>
        <v>7835089.4056170266</v>
      </c>
      <c r="Z10" s="2">
        <f t="shared" si="22"/>
        <v>1.028930679679076</v>
      </c>
      <c r="AA10" s="12">
        <f t="shared" si="13"/>
        <v>2.81172291296625E-2</v>
      </c>
      <c r="AB10" s="2">
        <f t="shared" si="23"/>
        <v>12238.944670506949</v>
      </c>
      <c r="AC10" s="2">
        <f t="shared" si="24"/>
        <v>12593.02565837932</v>
      </c>
      <c r="AD10" s="2">
        <f t="shared" si="16"/>
        <v>1.1552692731074286</v>
      </c>
      <c r="AE10" s="2">
        <f t="shared" si="17"/>
        <v>4.1433583097578124</v>
      </c>
      <c r="AF10" s="2">
        <f t="shared" si="19"/>
        <v>0.7492617373952204</v>
      </c>
      <c r="AG10" s="2">
        <f t="shared" si="20"/>
        <v>5.8249877480875789E-2</v>
      </c>
    </row>
    <row r="11" spans="1:33" x14ac:dyDescent="0.3">
      <c r="A11" s="2" t="s">
        <v>53</v>
      </c>
      <c r="B11" s="1" t="s">
        <v>33</v>
      </c>
      <c r="C11" s="31">
        <v>0.5</v>
      </c>
      <c r="D11" s="1">
        <v>2.4620155038759601</v>
      </c>
      <c r="E11" s="1">
        <v>0.71666666666666601</v>
      </c>
      <c r="F11" s="1">
        <v>2.9182948490230901E-2</v>
      </c>
      <c r="H11" s="1">
        <v>9.81</v>
      </c>
      <c r="I11" s="2">
        <v>1315</v>
      </c>
      <c r="J11" s="3">
        <f t="shared" si="0"/>
        <v>4.7813284284094051E-2</v>
      </c>
      <c r="K11" s="2">
        <f t="shared" si="1"/>
        <v>2.3906642142047026E-2</v>
      </c>
      <c r="L11" s="2">
        <v>0.4</v>
      </c>
      <c r="M11" s="7">
        <v>1</v>
      </c>
      <c r="N11" s="2">
        <v>18</v>
      </c>
      <c r="O11" s="4">
        <f t="shared" si="2"/>
        <v>2</v>
      </c>
      <c r="P11" s="2">
        <f t="shared" si="3"/>
        <v>2.4620155038759601</v>
      </c>
      <c r="Q11" s="1">
        <f t="shared" si="18"/>
        <v>1.4620155038759601</v>
      </c>
      <c r="R11" s="2">
        <f t="shared" si="4"/>
        <v>0.28333333333333399</v>
      </c>
      <c r="S11" s="2">
        <f t="shared" si="5"/>
        <v>71.576311966042468</v>
      </c>
      <c r="T11" s="2">
        <f t="shared" si="6"/>
        <v>0.12847753790797722</v>
      </c>
      <c r="U11" s="2">
        <f t="shared" si="21"/>
        <v>557.11148525674128</v>
      </c>
      <c r="V11" s="5">
        <f t="shared" si="8"/>
        <v>6.6800430157365226E-4</v>
      </c>
      <c r="W11" s="5">
        <f t="shared" si="9"/>
        <v>616.7985392574559</v>
      </c>
      <c r="X11" s="2">
        <f t="shared" si="10"/>
        <v>598.7985392574559</v>
      </c>
      <c r="Y11" s="2">
        <f t="shared" si="11"/>
        <v>6736966.4915782083</v>
      </c>
      <c r="Z11" s="2">
        <f t="shared" si="22"/>
        <v>1.0300601935708142</v>
      </c>
      <c r="AA11" s="12">
        <f t="shared" si="13"/>
        <v>2.9182948490230905E-2</v>
      </c>
      <c r="AB11" s="2">
        <f t="shared" si="23"/>
        <v>10922.474783563248</v>
      </c>
      <c r="AC11" s="2">
        <f t="shared" si="24"/>
        <v>11250.806489829498</v>
      </c>
      <c r="AD11" s="2">
        <f t="shared" si="16"/>
        <v>1.155522802351818</v>
      </c>
      <c r="AE11" s="2">
        <f t="shared" si="17"/>
        <v>4.0922950880088695</v>
      </c>
      <c r="AF11" s="2">
        <f t="shared" si="19"/>
        <v>0.74893298763357252</v>
      </c>
      <c r="AG11" s="2">
        <f t="shared" si="20"/>
        <v>5.9712618380093917E-2</v>
      </c>
    </row>
    <row r="12" spans="1:33" x14ac:dyDescent="0.3">
      <c r="A12" s="2" t="s">
        <v>53</v>
      </c>
      <c r="B12" s="1" t="s">
        <v>33</v>
      </c>
      <c r="C12" s="31">
        <v>0.5</v>
      </c>
      <c r="D12" s="1">
        <v>2.34186046511627</v>
      </c>
      <c r="E12" s="1">
        <v>0.68269230769230704</v>
      </c>
      <c r="F12" s="1">
        <v>3.6323268206038997E-2</v>
      </c>
      <c r="H12" s="1">
        <v>9.81</v>
      </c>
      <c r="I12" s="2">
        <v>1315</v>
      </c>
      <c r="J12" s="3">
        <f t="shared" si="0"/>
        <v>3.8414291481059501E-2</v>
      </c>
      <c r="K12" s="2">
        <f t="shared" si="1"/>
        <v>1.920714574052975E-2</v>
      </c>
      <c r="L12" s="2">
        <v>0.4</v>
      </c>
      <c r="M12" s="7">
        <v>1</v>
      </c>
      <c r="N12" s="2">
        <v>18</v>
      </c>
      <c r="O12" s="4">
        <f t="shared" si="2"/>
        <v>2</v>
      </c>
      <c r="P12" s="2">
        <f t="shared" si="3"/>
        <v>2.34186046511627</v>
      </c>
      <c r="Q12" s="1">
        <f t="shared" si="18"/>
        <v>1.34186046511627</v>
      </c>
      <c r="R12" s="2">
        <f t="shared" si="4"/>
        <v>0.31730769230769296</v>
      </c>
      <c r="S12" s="2">
        <f t="shared" si="5"/>
        <v>45.861873982259141</v>
      </c>
      <c r="T12" s="2">
        <f t="shared" si="6"/>
        <v>0.11943784413608183</v>
      </c>
      <c r="U12" s="2">
        <f t="shared" si="21"/>
        <v>383.98109337946767</v>
      </c>
      <c r="V12" s="5">
        <f t="shared" si="8"/>
        <v>8.376084129470896E-4</v>
      </c>
      <c r="W12" s="5">
        <f t="shared" si="9"/>
        <v>495.5501222493898</v>
      </c>
      <c r="X12" s="2">
        <f t="shared" si="10"/>
        <v>477.55012224938974</v>
      </c>
      <c r="Y12" s="2">
        <f t="shared" si="11"/>
        <v>2765854.6029914725</v>
      </c>
      <c r="Z12" s="2">
        <f t="shared" si="22"/>
        <v>1.0376923785826191</v>
      </c>
      <c r="AA12" s="12">
        <f t="shared" si="13"/>
        <v>3.6323268206038997E-2</v>
      </c>
      <c r="AB12" s="2">
        <f t="shared" si="23"/>
        <v>5581.3821424092648</v>
      </c>
      <c r="AC12" s="2">
        <f t="shared" si="24"/>
        <v>5791.7577111352248</v>
      </c>
      <c r="AD12" s="2">
        <f t="shared" si="16"/>
        <v>1.1572301086606411</v>
      </c>
      <c r="AE12" s="2">
        <f t="shared" si="17"/>
        <v>3.8043607531656201</v>
      </c>
      <c r="AF12" s="2">
        <f t="shared" si="19"/>
        <v>0.74672475821003048</v>
      </c>
      <c r="AG12" s="2">
        <f t="shared" si="20"/>
        <v>6.9093407994881686E-2</v>
      </c>
    </row>
    <row r="13" spans="1:33" x14ac:dyDescent="0.3">
      <c r="A13" s="2" t="s">
        <v>53</v>
      </c>
      <c r="B13" s="1" t="s">
        <v>33</v>
      </c>
      <c r="C13" s="31">
        <v>0.5</v>
      </c>
      <c r="D13" s="1">
        <v>2.2992248062015399</v>
      </c>
      <c r="E13" s="1">
        <v>0.68461538461538396</v>
      </c>
      <c r="F13" s="1">
        <v>3.6110124333925402E-2</v>
      </c>
      <c r="H13" s="1">
        <v>9.81</v>
      </c>
      <c r="I13" s="2">
        <v>1315</v>
      </c>
      <c r="J13" s="3">
        <f t="shared" si="0"/>
        <v>3.8641035946269803E-2</v>
      </c>
      <c r="K13" s="2">
        <f t="shared" si="1"/>
        <v>1.9320517973134901E-2</v>
      </c>
      <c r="L13" s="2">
        <v>0.4</v>
      </c>
      <c r="M13" s="7">
        <v>1</v>
      </c>
      <c r="N13" s="2">
        <v>18</v>
      </c>
      <c r="O13" s="4">
        <f t="shared" si="2"/>
        <v>2</v>
      </c>
      <c r="P13" s="2">
        <f t="shared" si="3"/>
        <v>2.2992248062015399</v>
      </c>
      <c r="Q13" s="1">
        <f t="shared" si="18"/>
        <v>1.2992248062015399</v>
      </c>
      <c r="R13" s="2">
        <f t="shared" si="4"/>
        <v>0.31538461538461604</v>
      </c>
      <c r="S13" s="2">
        <f t="shared" si="5"/>
        <v>46.415144808819498</v>
      </c>
      <c r="T13" s="2">
        <f t="shared" si="6"/>
        <v>0.11967238149665495</v>
      </c>
      <c r="U13" s="2">
        <f t="shared" si="21"/>
        <v>387.85176853956801</v>
      </c>
      <c r="V13" s="5">
        <f t="shared" si="8"/>
        <v>8.3250921882134239E-4</v>
      </c>
      <c r="W13" s="5">
        <f t="shared" si="9"/>
        <v>498.47515986227245</v>
      </c>
      <c r="X13" s="2">
        <f t="shared" si="10"/>
        <v>480.47515986227245</v>
      </c>
      <c r="Y13" s="2">
        <f t="shared" si="11"/>
        <v>2832990.8529251437</v>
      </c>
      <c r="Z13" s="2">
        <f t="shared" si="22"/>
        <v>1.0374629148469603</v>
      </c>
      <c r="AA13" s="12">
        <f t="shared" si="13"/>
        <v>3.6110124333925402E-2</v>
      </c>
      <c r="AB13" s="2">
        <f t="shared" si="23"/>
        <v>5683.3139964444617</v>
      </c>
      <c r="AC13" s="2">
        <f t="shared" si="24"/>
        <v>5896.2275047417988</v>
      </c>
      <c r="AD13" s="2">
        <f t="shared" si="16"/>
        <v>1.1571789247375481</v>
      </c>
      <c r="AE13" s="2">
        <f t="shared" si="17"/>
        <v>3.8118312892940085</v>
      </c>
      <c r="AF13" s="2">
        <f t="shared" si="19"/>
        <v>0.7467908173942277</v>
      </c>
      <c r="AG13" s="2">
        <f t="shared" si="20"/>
        <v>6.8822850898176954E-2</v>
      </c>
    </row>
    <row r="14" spans="1:33" x14ac:dyDescent="0.3">
      <c r="A14" s="2" t="s">
        <v>53</v>
      </c>
      <c r="B14" s="1" t="s">
        <v>33</v>
      </c>
      <c r="C14" s="31">
        <v>0.5</v>
      </c>
      <c r="D14" s="1">
        <v>2.2682170542635598</v>
      </c>
      <c r="E14" s="1">
        <v>0.69038461538461504</v>
      </c>
      <c r="F14" s="1">
        <v>3.6749555950266397E-2</v>
      </c>
      <c r="H14" s="1">
        <v>9.81</v>
      </c>
      <c r="I14" s="2">
        <v>1315</v>
      </c>
      <c r="J14" s="3">
        <f t="shared" si="0"/>
        <v>3.7968693126518412E-2</v>
      </c>
      <c r="K14" s="2">
        <f t="shared" si="1"/>
        <v>1.8984346563259206E-2</v>
      </c>
      <c r="L14" s="2">
        <v>0.4</v>
      </c>
      <c r="M14" s="7">
        <v>1</v>
      </c>
      <c r="N14" s="2">
        <v>18</v>
      </c>
      <c r="O14" s="4">
        <f t="shared" si="2"/>
        <v>2</v>
      </c>
      <c r="P14" s="2">
        <f t="shared" si="3"/>
        <v>2.2682170542635598</v>
      </c>
      <c r="Q14" s="1">
        <f t="shared" si="18"/>
        <v>1.2682170542635598</v>
      </c>
      <c r="R14" s="2">
        <f t="shared" si="4"/>
        <v>0.30961538461538496</v>
      </c>
      <c r="S14" s="2">
        <f t="shared" si="5"/>
        <v>44.784247879405505</v>
      </c>
      <c r="T14" s="2">
        <f t="shared" si="6"/>
        <v>0.11897422823623779</v>
      </c>
      <c r="U14" s="2">
        <f t="shared" si="21"/>
        <v>376.41973848723723</v>
      </c>
      <c r="V14" s="5">
        <f t="shared" si="8"/>
        <v>8.4781357116368384E-4</v>
      </c>
      <c r="W14" s="5">
        <f t="shared" si="9"/>
        <v>489.80183663605652</v>
      </c>
      <c r="X14" s="2">
        <f t="shared" si="10"/>
        <v>471.80183663605658</v>
      </c>
      <c r="Y14" s="2">
        <f t="shared" si="11"/>
        <v>2637401.9484331082</v>
      </c>
      <c r="Z14" s="2">
        <f t="shared" si="22"/>
        <v>1.0381516107023656</v>
      </c>
      <c r="AA14" s="12">
        <f t="shared" si="13"/>
        <v>3.6749555950266397E-2</v>
      </c>
      <c r="AB14" s="2">
        <f t="shared" si="23"/>
        <v>5384.6305815157839</v>
      </c>
      <c r="AC14" s="2">
        <f t="shared" si="24"/>
        <v>5590.0629112378274</v>
      </c>
      <c r="AD14" s="2">
        <f t="shared" si="16"/>
        <v>1.1573325172735358</v>
      </c>
      <c r="AE14" s="2">
        <f t="shared" si="17"/>
        <v>3.7895935564980316</v>
      </c>
      <c r="AF14" s="2">
        <f t="shared" si="19"/>
        <v>0.74659261353730566</v>
      </c>
      <c r="AG14" s="2">
        <f t="shared" si="20"/>
        <v>6.9632940216646746E-2</v>
      </c>
    </row>
    <row r="15" spans="1:33" x14ac:dyDescent="0.3">
      <c r="A15" s="2" t="s">
        <v>53</v>
      </c>
      <c r="B15" s="1" t="s">
        <v>33</v>
      </c>
      <c r="C15" s="31">
        <v>0.5</v>
      </c>
      <c r="D15" s="1">
        <v>2.2682170542635598</v>
      </c>
      <c r="E15" s="1">
        <v>0.67820512820512802</v>
      </c>
      <c r="F15" s="1">
        <v>4.1225577264653597E-2</v>
      </c>
      <c r="H15" s="1">
        <v>9.81</v>
      </c>
      <c r="I15" s="2">
        <v>1315</v>
      </c>
      <c r="J15" s="3">
        <f t="shared" si="0"/>
        <v>3.3846284394126062E-2</v>
      </c>
      <c r="K15" s="2">
        <f t="shared" si="1"/>
        <v>1.6923142197063031E-2</v>
      </c>
      <c r="L15" s="2">
        <v>0.4</v>
      </c>
      <c r="M15" s="7">
        <v>1</v>
      </c>
      <c r="N15" s="2">
        <v>18</v>
      </c>
      <c r="O15" s="4">
        <f t="shared" si="2"/>
        <v>2</v>
      </c>
      <c r="P15" s="2">
        <f t="shared" si="3"/>
        <v>2.2682170542635598</v>
      </c>
      <c r="Q15" s="1">
        <f t="shared" si="18"/>
        <v>1.2682170542635598</v>
      </c>
      <c r="R15" s="2">
        <f t="shared" si="4"/>
        <v>0.32179487179487198</v>
      </c>
      <c r="S15" s="2">
        <f t="shared" si="5"/>
        <v>35.422010486417044</v>
      </c>
      <c r="T15" s="2">
        <f t="shared" si="6"/>
        <v>0.1145024237284101</v>
      </c>
      <c r="U15" s="2">
        <f t="shared" si="21"/>
        <v>309.35598857221578</v>
      </c>
      <c r="V15" s="5">
        <f t="shared" si="8"/>
        <v>9.5551562233049398E-4</v>
      </c>
      <c r="W15" s="5">
        <f t="shared" si="9"/>
        <v>436.62214562688536</v>
      </c>
      <c r="X15" s="2">
        <f t="shared" si="10"/>
        <v>418.62214562688536</v>
      </c>
      <c r="Y15" s="2">
        <f t="shared" si="11"/>
        <v>1649955.2573732883</v>
      </c>
      <c r="Z15" s="2">
        <f t="shared" si="22"/>
        <v>1.0429982030048721</v>
      </c>
      <c r="AA15" s="12">
        <f t="shared" si="13"/>
        <v>4.1225577264653604E-2</v>
      </c>
      <c r="AB15" s="2">
        <f t="shared" si="23"/>
        <v>3778.9087747813287</v>
      </c>
      <c r="AC15" s="2">
        <f t="shared" si="24"/>
        <v>3941.3950614162695</v>
      </c>
      <c r="AD15" s="2">
        <f t="shared" si="16"/>
        <v>1.1584111022562296</v>
      </c>
      <c r="AE15" s="2">
        <f t="shared" si="17"/>
        <v>3.6471566455803708</v>
      </c>
      <c r="AF15" s="2">
        <f t="shared" si="19"/>
        <v>0.74520297096023869</v>
      </c>
      <c r="AG15" s="2">
        <f t="shared" si="20"/>
        <v>7.5178069044334217E-2</v>
      </c>
    </row>
    <row r="16" spans="1:33" x14ac:dyDescent="0.3">
      <c r="A16" s="2" t="s">
        <v>53</v>
      </c>
      <c r="B16" s="1" t="s">
        <v>33</v>
      </c>
      <c r="C16" s="31">
        <v>0.5</v>
      </c>
      <c r="D16" s="1">
        <v>2.2720930232558101</v>
      </c>
      <c r="E16" s="1">
        <v>0.67628205128205099</v>
      </c>
      <c r="F16" s="1">
        <v>4.1971580817051497E-2</v>
      </c>
      <c r="H16" s="1">
        <v>9.81</v>
      </c>
      <c r="I16" s="2">
        <v>1315</v>
      </c>
      <c r="J16" s="3">
        <f t="shared" si="0"/>
        <v>3.3244699991014197E-2</v>
      </c>
      <c r="K16" s="2">
        <f t="shared" si="1"/>
        <v>1.6622349995507098E-2</v>
      </c>
      <c r="L16" s="2">
        <v>0.4</v>
      </c>
      <c r="M16" s="7">
        <v>1</v>
      </c>
      <c r="N16" s="2">
        <v>18</v>
      </c>
      <c r="O16" s="4">
        <f t="shared" si="2"/>
        <v>2</v>
      </c>
      <c r="P16" s="2">
        <f t="shared" si="3"/>
        <v>2.2720930232558101</v>
      </c>
      <c r="Q16" s="1">
        <f t="shared" si="18"/>
        <v>1.2720930232558101</v>
      </c>
      <c r="R16" s="2">
        <f t="shared" si="4"/>
        <v>0.32371794871794901</v>
      </c>
      <c r="S16" s="2">
        <f t="shared" si="5"/>
        <v>34.147427953317816</v>
      </c>
      <c r="T16" s="2">
        <f t="shared" si="6"/>
        <v>0.11381997502313337</v>
      </c>
      <c r="U16" s="2">
        <f t="shared" si="21"/>
        <v>300.01261155063082</v>
      </c>
      <c r="V16" s="5">
        <f t="shared" si="8"/>
        <v>9.7356380798173955E-4</v>
      </c>
      <c r="W16" s="5">
        <f t="shared" si="9"/>
        <v>428.86161658908185</v>
      </c>
      <c r="X16" s="2">
        <f t="shared" si="10"/>
        <v>410.86161658908179</v>
      </c>
      <c r="Y16" s="2">
        <f t="shared" si="11"/>
        <v>1533351.5891125456</v>
      </c>
      <c r="Z16" s="2">
        <f t="shared" si="22"/>
        <v>1.0438103713591784</v>
      </c>
      <c r="AA16" s="12">
        <f t="shared" si="13"/>
        <v>4.197158081705149E-2</v>
      </c>
      <c r="AB16" s="2">
        <f t="shared" si="23"/>
        <v>3575.3994524106411</v>
      </c>
      <c r="AC16" s="2">
        <f t="shared" si="24"/>
        <v>3732.0390301781545</v>
      </c>
      <c r="AD16" s="2">
        <f t="shared" si="16"/>
        <v>1.1585914538483442</v>
      </c>
      <c r="AE16" s="2">
        <f t="shared" si="17"/>
        <v>3.6254191377646294</v>
      </c>
      <c r="AF16" s="2">
        <f t="shared" si="19"/>
        <v>0.74497098567971187</v>
      </c>
      <c r="AG16" s="2">
        <f t="shared" si="20"/>
        <v>7.6082286168186658E-2</v>
      </c>
    </row>
    <row r="17" spans="1:33" x14ac:dyDescent="0.3">
      <c r="A17" s="2" t="s">
        <v>53</v>
      </c>
      <c r="B17" s="1" t="s">
        <v>33</v>
      </c>
      <c r="C17" s="31">
        <v>0.5</v>
      </c>
      <c r="D17" s="1">
        <v>2.2488372093023199</v>
      </c>
      <c r="E17" s="1">
        <v>0.67692307692307596</v>
      </c>
      <c r="F17" s="1">
        <v>4.3037300177619801E-2</v>
      </c>
      <c r="H17" s="1">
        <v>9.81</v>
      </c>
      <c r="I17" s="2">
        <v>1315</v>
      </c>
      <c r="J17" s="3">
        <f t="shared" si="0"/>
        <v>3.2421471761769162E-2</v>
      </c>
      <c r="K17" s="2">
        <f t="shared" si="1"/>
        <v>1.6210735880884581E-2</v>
      </c>
      <c r="L17" s="2">
        <v>0.4</v>
      </c>
      <c r="M17" s="7">
        <v>1</v>
      </c>
      <c r="N17" s="2">
        <v>18</v>
      </c>
      <c r="O17" s="4">
        <f t="shared" si="2"/>
        <v>2</v>
      </c>
      <c r="P17" s="2">
        <f t="shared" si="3"/>
        <v>2.2488372093023199</v>
      </c>
      <c r="Q17" s="1">
        <f t="shared" si="18"/>
        <v>1.2488372093023199</v>
      </c>
      <c r="R17" s="2">
        <f t="shared" si="4"/>
        <v>0.32307692307692404</v>
      </c>
      <c r="S17" s="2">
        <f t="shared" si="5"/>
        <v>32.441074508831136</v>
      </c>
      <c r="T17" s="2">
        <f t="shared" si="6"/>
        <v>0.1128726154414218</v>
      </c>
      <c r="U17" s="2">
        <f t="shared" si="21"/>
        <v>287.41315492655775</v>
      </c>
      <c r="V17" s="5">
        <f t="shared" si="8"/>
        <v>9.9939574297834566E-4</v>
      </c>
      <c r="W17" s="5">
        <f t="shared" si="9"/>
        <v>418.2418489475865</v>
      </c>
      <c r="X17" s="2">
        <f t="shared" si="10"/>
        <v>400.2418489475865</v>
      </c>
      <c r="Y17" s="2">
        <f t="shared" si="11"/>
        <v>1383936.6596031063</v>
      </c>
      <c r="Z17" s="2">
        <f t="shared" si="22"/>
        <v>1.0449728084340255</v>
      </c>
      <c r="AA17" s="12">
        <f t="shared" si="13"/>
        <v>4.3037300177619801E-2</v>
      </c>
      <c r="AB17" s="2">
        <f t="shared" si="23"/>
        <v>3308.9387470084071</v>
      </c>
      <c r="AC17" s="2">
        <f t="shared" si="24"/>
        <v>3457.7510153975409</v>
      </c>
      <c r="AD17" s="2">
        <f t="shared" si="16"/>
        <v>1.1588493915271296</v>
      </c>
      <c r="AE17" s="2">
        <f t="shared" si="17"/>
        <v>3.5952436298435999</v>
      </c>
      <c r="AF17" s="2">
        <f t="shared" si="19"/>
        <v>0.74463939004169144</v>
      </c>
      <c r="AG17" s="2">
        <f t="shared" si="20"/>
        <v>7.7364789654627217E-2</v>
      </c>
    </row>
    <row r="18" spans="1:33" x14ac:dyDescent="0.3">
      <c r="A18" s="2" t="s">
        <v>53</v>
      </c>
      <c r="B18" s="1" t="s">
        <v>33</v>
      </c>
      <c r="C18" s="31">
        <v>0.5</v>
      </c>
      <c r="D18" s="1">
        <v>2.2527131782945702</v>
      </c>
      <c r="E18" s="1">
        <v>0.67115384615384599</v>
      </c>
      <c r="F18" s="1">
        <v>4.3889875666074503E-2</v>
      </c>
      <c r="H18" s="1">
        <v>9.81</v>
      </c>
      <c r="I18" s="2">
        <v>1315</v>
      </c>
      <c r="J18" s="3">
        <f t="shared" si="0"/>
        <v>3.1791673848145158E-2</v>
      </c>
      <c r="K18" s="2">
        <f t="shared" si="1"/>
        <v>1.5895836924072579E-2</v>
      </c>
      <c r="L18" s="2">
        <v>0.4</v>
      </c>
      <c r="M18" s="7">
        <v>1</v>
      </c>
      <c r="N18" s="2">
        <v>18</v>
      </c>
      <c r="O18" s="4">
        <f t="shared" si="2"/>
        <v>2</v>
      </c>
      <c r="P18" s="2">
        <f t="shared" si="3"/>
        <v>2.2527131782945702</v>
      </c>
      <c r="Q18" s="1">
        <f t="shared" si="18"/>
        <v>1.2527131782945702</v>
      </c>
      <c r="R18" s="2">
        <f t="shared" si="4"/>
        <v>0.32884615384615401</v>
      </c>
      <c r="S18" s="2">
        <f t="shared" si="5"/>
        <v>31.165168158936229</v>
      </c>
      <c r="T18" s="2">
        <f t="shared" si="6"/>
        <v>0.11213696853460636</v>
      </c>
      <c r="U18" s="2">
        <f t="shared" si="21"/>
        <v>277.92055168067441</v>
      </c>
      <c r="V18" s="5">
        <f t="shared" si="8"/>
        <v>1.0201027533692059E-3</v>
      </c>
      <c r="W18" s="5">
        <f t="shared" si="9"/>
        <v>410.1173613921498</v>
      </c>
      <c r="X18" s="2">
        <f t="shared" si="10"/>
        <v>392.1173613921498</v>
      </c>
      <c r="Y18" s="2">
        <f t="shared" si="11"/>
        <v>1277217.0338828259</v>
      </c>
      <c r="Z18" s="2">
        <f t="shared" si="22"/>
        <v>1.0459046239016143</v>
      </c>
      <c r="AA18" s="12">
        <f t="shared" si="13"/>
        <v>4.388987566607451E-2</v>
      </c>
      <c r="AB18" s="2">
        <f t="shared" si="23"/>
        <v>3114.2720453172055</v>
      </c>
      <c r="AC18" s="2">
        <f t="shared" si="24"/>
        <v>3257.2315322848026</v>
      </c>
      <c r="AD18" s="2">
        <f t="shared" si="16"/>
        <v>1.1590559899810386</v>
      </c>
      <c r="AE18" s="2">
        <f t="shared" si="17"/>
        <v>3.5718116410906249</v>
      </c>
      <c r="AF18" s="2">
        <f t="shared" si="19"/>
        <v>0.74437395396761163</v>
      </c>
      <c r="AG18" s="2">
        <f t="shared" si="20"/>
        <v>7.8383184415052556E-2</v>
      </c>
    </row>
    <row r="19" spans="1:33" x14ac:dyDescent="0.3">
      <c r="A19" s="2" t="s">
        <v>53</v>
      </c>
      <c r="B19" s="1" t="s">
        <v>33</v>
      </c>
      <c r="C19" s="31">
        <v>0.5</v>
      </c>
      <c r="D19" s="1">
        <v>2.24496124031007</v>
      </c>
      <c r="E19" s="1">
        <v>0.67307692307692302</v>
      </c>
      <c r="F19" s="1">
        <v>4.3783303730017702E-2</v>
      </c>
      <c r="H19" s="1">
        <v>9.81</v>
      </c>
      <c r="I19" s="2">
        <v>1315</v>
      </c>
      <c r="J19" s="3">
        <f t="shared" si="0"/>
        <v>3.1869057232765369E-2</v>
      </c>
      <c r="K19" s="2">
        <f t="shared" si="1"/>
        <v>1.5934528616382684E-2</v>
      </c>
      <c r="L19" s="2">
        <v>0.4</v>
      </c>
      <c r="M19" s="7">
        <v>1</v>
      </c>
      <c r="N19" s="2">
        <v>18</v>
      </c>
      <c r="O19" s="4">
        <f t="shared" si="2"/>
        <v>2</v>
      </c>
      <c r="P19" s="2">
        <f t="shared" si="3"/>
        <v>2.24496124031007</v>
      </c>
      <c r="Q19" s="1">
        <f t="shared" si="18"/>
        <v>1.24496124031007</v>
      </c>
      <c r="R19" s="2">
        <f t="shared" si="4"/>
        <v>0.32692307692307698</v>
      </c>
      <c r="S19" s="2">
        <f t="shared" si="5"/>
        <v>31.320560375524011</v>
      </c>
      <c r="T19" s="2">
        <f t="shared" si="6"/>
        <v>0.11222787815572391</v>
      </c>
      <c r="U19" s="2">
        <f t="shared" si="21"/>
        <v>279.08003688766684</v>
      </c>
      <c r="V19" s="5">
        <f t="shared" si="8"/>
        <v>1.0175123577185418E-3</v>
      </c>
      <c r="W19" s="5">
        <f t="shared" si="9"/>
        <v>411.11561866125822</v>
      </c>
      <c r="X19" s="2">
        <f t="shared" si="10"/>
        <v>393.11561866125822</v>
      </c>
      <c r="Y19" s="2">
        <f t="shared" si="11"/>
        <v>1289985.4154414509</v>
      </c>
      <c r="Z19" s="2">
        <f t="shared" si="22"/>
        <v>1.0457880560973343</v>
      </c>
      <c r="AA19" s="12">
        <f t="shared" si="13"/>
        <v>4.3783303730017695E-2</v>
      </c>
      <c r="AB19" s="2">
        <f t="shared" si="23"/>
        <v>3137.7679584203393</v>
      </c>
      <c r="AC19" s="2">
        <f t="shared" si="24"/>
        <v>3281.440253720908</v>
      </c>
      <c r="AD19" s="2">
        <f t="shared" si="16"/>
        <v>1.1590301530868636</v>
      </c>
      <c r="AE19" s="2">
        <f t="shared" si="17"/>
        <v>3.5747073145445967</v>
      </c>
      <c r="AF19" s="2">
        <f t="shared" si="19"/>
        <v>0.74440714124127416</v>
      </c>
      <c r="AG19" s="2">
        <f t="shared" si="20"/>
        <v>7.8256248049310986E-2</v>
      </c>
    </row>
    <row r="20" spans="1:33" x14ac:dyDescent="0.3">
      <c r="A20" s="2" t="s">
        <v>53</v>
      </c>
      <c r="B20" s="1" t="s">
        <v>33</v>
      </c>
      <c r="C20" s="31">
        <v>0.5</v>
      </c>
      <c r="D20" s="1">
        <v>2.2255813953488301</v>
      </c>
      <c r="E20" s="1">
        <v>0.67500000000000004</v>
      </c>
      <c r="F20" s="1">
        <v>4.5595026642984003E-2</v>
      </c>
      <c r="H20" s="1">
        <v>9.81</v>
      </c>
      <c r="I20" s="2">
        <v>1315</v>
      </c>
      <c r="J20" s="3">
        <f t="shared" si="0"/>
        <v>3.0602737077821008E-2</v>
      </c>
      <c r="K20" s="2">
        <f t="shared" si="1"/>
        <v>1.5301368538910504E-2</v>
      </c>
      <c r="L20" s="2">
        <v>0.4</v>
      </c>
      <c r="M20" s="7">
        <v>1</v>
      </c>
      <c r="N20" s="2">
        <v>18</v>
      </c>
      <c r="O20" s="4">
        <f t="shared" si="2"/>
        <v>2</v>
      </c>
      <c r="P20" s="2">
        <f t="shared" si="3"/>
        <v>2.2255813953488301</v>
      </c>
      <c r="Q20" s="1">
        <f t="shared" si="18"/>
        <v>1.2255813953488301</v>
      </c>
      <c r="R20" s="2">
        <f t="shared" si="4"/>
        <v>0.32499999999999996</v>
      </c>
      <c r="S20" s="2">
        <f t="shared" si="5"/>
        <v>28.826240441416065</v>
      </c>
      <c r="T20" s="2">
        <f t="shared" si="6"/>
        <v>0.11072128147726824</v>
      </c>
      <c r="U20" s="2">
        <f t="shared" si="21"/>
        <v>260.34959184729331</v>
      </c>
      <c r="V20" s="5">
        <f t="shared" si="8"/>
        <v>1.061627760304551E-3</v>
      </c>
      <c r="W20" s="5">
        <f t="shared" si="9"/>
        <v>394.77989871445271</v>
      </c>
      <c r="X20" s="2">
        <f t="shared" si="10"/>
        <v>376.77989871445271</v>
      </c>
      <c r="Y20" s="2">
        <f t="shared" si="11"/>
        <v>1092702.0614520253</v>
      </c>
      <c r="Z20" s="2">
        <f t="shared" si="22"/>
        <v>1.0477732492137048</v>
      </c>
      <c r="AA20" s="12">
        <f t="shared" si="13"/>
        <v>4.559502664298401E-2</v>
      </c>
      <c r="AB20" s="2">
        <f t="shared" si="23"/>
        <v>2767.876644708258</v>
      </c>
      <c r="AC20" s="2">
        <f t="shared" si="24"/>
        <v>2900.1071054486988</v>
      </c>
      <c r="AD20" s="2">
        <f t="shared" si="16"/>
        <v>1.15946985089374</v>
      </c>
      <c r="AE20" s="2">
        <f t="shared" si="17"/>
        <v>3.5267188623431651</v>
      </c>
      <c r="AF20" s="2">
        <f t="shared" si="19"/>
        <v>0.74384265545560879</v>
      </c>
      <c r="AG20" s="2">
        <f t="shared" si="20"/>
        <v>8.0400420245425458E-2</v>
      </c>
    </row>
    <row r="21" spans="1:33" x14ac:dyDescent="0.3">
      <c r="A21" s="2" t="s">
        <v>53</v>
      </c>
      <c r="B21" s="1" t="s">
        <v>33</v>
      </c>
      <c r="C21" s="31">
        <v>0.5</v>
      </c>
      <c r="D21" s="1">
        <v>2.22945736434108</v>
      </c>
      <c r="E21" s="1">
        <v>0.66794871794871702</v>
      </c>
      <c r="F21" s="1">
        <v>4.6234458259324998E-2</v>
      </c>
      <c r="H21" s="1">
        <v>9.81</v>
      </c>
      <c r="I21" s="2">
        <v>1315</v>
      </c>
      <c r="J21" s="3">
        <f t="shared" si="0"/>
        <v>3.0179495228108564E-2</v>
      </c>
      <c r="K21" s="2">
        <f t="shared" si="1"/>
        <v>1.5089747614054282E-2</v>
      </c>
      <c r="L21" s="2">
        <v>0.4</v>
      </c>
      <c r="M21" s="7">
        <v>1</v>
      </c>
      <c r="N21" s="2">
        <v>18</v>
      </c>
      <c r="O21" s="4">
        <f t="shared" si="2"/>
        <v>2</v>
      </c>
      <c r="P21" s="2">
        <f t="shared" si="3"/>
        <v>2.22945736434108</v>
      </c>
      <c r="Q21" s="1">
        <f t="shared" si="18"/>
        <v>1.22945736434108</v>
      </c>
      <c r="R21" s="2">
        <f t="shared" si="4"/>
        <v>0.33205128205128298</v>
      </c>
      <c r="S21" s="2">
        <f t="shared" si="5"/>
        <v>28.015626579665238</v>
      </c>
      <c r="T21" s="2">
        <f t="shared" si="6"/>
        <v>0.11020847776359487</v>
      </c>
      <c r="U21" s="2">
        <f t="shared" si="21"/>
        <v>254.20573034100678</v>
      </c>
      <c r="V21" s="5">
        <f t="shared" si="8"/>
        <v>1.0772379172848464E-3</v>
      </c>
      <c r="W21" s="5">
        <f t="shared" si="9"/>
        <v>389.32001536688472</v>
      </c>
      <c r="X21" s="2">
        <f t="shared" si="10"/>
        <v>371.32001536688472</v>
      </c>
      <c r="Y21" s="2">
        <f t="shared" si="11"/>
        <v>1032111.0624363875</v>
      </c>
      <c r="Z21" s="2">
        <f t="shared" si="22"/>
        <v>1.0484757062778181</v>
      </c>
      <c r="AA21" s="12">
        <f t="shared" si="13"/>
        <v>4.6234458259325005E-2</v>
      </c>
      <c r="AB21" s="2">
        <f t="shared" si="23"/>
        <v>2651.0608797334858</v>
      </c>
      <c r="AC21" s="2">
        <f t="shared" si="24"/>
        <v>2779.57292826406</v>
      </c>
      <c r="AD21" s="2">
        <f t="shared" si="16"/>
        <v>1.1596252775485365</v>
      </c>
      <c r="AE21" s="2">
        <f t="shared" si="17"/>
        <v>3.5103849244988603</v>
      </c>
      <c r="AF21" s="2">
        <f t="shared" si="19"/>
        <v>0.74364327168920863</v>
      </c>
      <c r="AG21" s="2">
        <f t="shared" si="20"/>
        <v>8.1150372632953174E-2</v>
      </c>
    </row>
    <row r="22" spans="1:33" x14ac:dyDescent="0.3">
      <c r="A22" s="2" t="s">
        <v>53</v>
      </c>
      <c r="B22" s="1" t="s">
        <v>33</v>
      </c>
      <c r="C22" s="31">
        <v>0.5</v>
      </c>
      <c r="D22" s="1">
        <v>2.2139534883720899</v>
      </c>
      <c r="E22" s="1">
        <v>0.66602564102564099</v>
      </c>
      <c r="F22" s="1">
        <v>4.6554174067495499E-2</v>
      </c>
      <c r="H22" s="1">
        <v>9.81</v>
      </c>
      <c r="I22" s="2">
        <v>1315</v>
      </c>
      <c r="J22" s="3">
        <f t="shared" si="0"/>
        <v>2.9972234291784288E-2</v>
      </c>
      <c r="K22" s="2">
        <f t="shared" si="1"/>
        <v>1.4986117145892144E-2</v>
      </c>
      <c r="L22" s="2">
        <v>0.4</v>
      </c>
      <c r="M22" s="7">
        <v>1</v>
      </c>
      <c r="N22" s="2">
        <v>18</v>
      </c>
      <c r="O22" s="4">
        <f t="shared" si="2"/>
        <v>2</v>
      </c>
      <c r="P22" s="2">
        <f t="shared" si="3"/>
        <v>2.2139534883720899</v>
      </c>
      <c r="Q22" s="1">
        <f t="shared" si="18"/>
        <v>1.2139534883720899</v>
      </c>
      <c r="R22" s="2">
        <f t="shared" si="4"/>
        <v>0.33397435897435901</v>
      </c>
      <c r="S22" s="2">
        <f t="shared" si="5"/>
        <v>27.622884549672293</v>
      </c>
      <c r="T22" s="2">
        <f t="shared" si="6"/>
        <v>0.10995560847485945</v>
      </c>
      <c r="U22" s="2">
        <f t="shared" si="21"/>
        <v>251.21851384222992</v>
      </c>
      <c r="V22" s="5">
        <f t="shared" si="8"/>
        <v>1.0850508475277925E-3</v>
      </c>
      <c r="W22" s="5">
        <f t="shared" si="9"/>
        <v>386.6463181991611</v>
      </c>
      <c r="X22" s="2">
        <f t="shared" si="10"/>
        <v>368.64631819916104</v>
      </c>
      <c r="Y22" s="2">
        <f t="shared" si="11"/>
        <v>1003376.2323605494</v>
      </c>
      <c r="Z22" s="2">
        <f t="shared" si="22"/>
        <v>1.0488272881387508</v>
      </c>
      <c r="AA22" s="12">
        <f t="shared" si="13"/>
        <v>4.6554174067495499E-2</v>
      </c>
      <c r="AB22" s="2">
        <f t="shared" si="23"/>
        <v>2595.0750986944904</v>
      </c>
      <c r="AC22" s="2">
        <f t="shared" si="24"/>
        <v>2721.7855782801435</v>
      </c>
      <c r="AD22" s="2">
        <f t="shared" si="16"/>
        <v>1.1597030377743807</v>
      </c>
      <c r="AE22" s="2">
        <f t="shared" si="17"/>
        <v>3.5023304757208855</v>
      </c>
      <c r="AF22" s="2">
        <f t="shared" si="19"/>
        <v>0.74354354972900838</v>
      </c>
      <c r="AG22" s="2">
        <f t="shared" si="20"/>
        <v>8.1524051304302195E-2</v>
      </c>
    </row>
    <row r="23" spans="1:33" x14ac:dyDescent="0.3">
      <c r="A23" s="2" t="s">
        <v>53</v>
      </c>
      <c r="B23" s="1" t="s">
        <v>33</v>
      </c>
      <c r="C23" s="31">
        <v>0.5</v>
      </c>
      <c r="D23" s="1">
        <v>2.1906976744186002</v>
      </c>
      <c r="E23" s="1">
        <v>0.66794871794871702</v>
      </c>
      <c r="F23" s="1">
        <v>4.6234458259324998E-2</v>
      </c>
      <c r="H23" s="1">
        <v>9.81</v>
      </c>
      <c r="I23" s="2">
        <v>1315</v>
      </c>
      <c r="J23" s="3">
        <f t="shared" si="0"/>
        <v>3.0179495228108564E-2</v>
      </c>
      <c r="K23" s="2">
        <f t="shared" si="1"/>
        <v>1.5089747614054282E-2</v>
      </c>
      <c r="L23" s="2">
        <v>0.4</v>
      </c>
      <c r="M23" s="7">
        <v>1</v>
      </c>
      <c r="N23" s="2">
        <v>18</v>
      </c>
      <c r="O23" s="4">
        <f t="shared" si="2"/>
        <v>2</v>
      </c>
      <c r="P23" s="2">
        <f t="shared" si="3"/>
        <v>2.1906976744186002</v>
      </c>
      <c r="Q23" s="1">
        <f t="shared" si="18"/>
        <v>1.1906976744186002</v>
      </c>
      <c r="R23" s="2">
        <f t="shared" si="4"/>
        <v>0.33205128205128298</v>
      </c>
      <c r="S23" s="2">
        <f t="shared" si="5"/>
        <v>28.015626579665238</v>
      </c>
      <c r="T23" s="2">
        <f t="shared" si="6"/>
        <v>0.11020847776359487</v>
      </c>
      <c r="U23" s="2">
        <f t="shared" si="21"/>
        <v>254.20573034100678</v>
      </c>
      <c r="V23" s="5">
        <f t="shared" si="8"/>
        <v>1.0772379172848464E-3</v>
      </c>
      <c r="W23" s="5">
        <f t="shared" si="9"/>
        <v>389.32001536688472</v>
      </c>
      <c r="X23" s="2">
        <f t="shared" si="10"/>
        <v>371.32001536688472</v>
      </c>
      <c r="Y23" s="2">
        <f t="shared" si="11"/>
        <v>1032111.0624363875</v>
      </c>
      <c r="Z23" s="2">
        <f t="shared" si="22"/>
        <v>1.0484757062778181</v>
      </c>
      <c r="AA23" s="12">
        <f t="shared" si="13"/>
        <v>4.6234458259325005E-2</v>
      </c>
      <c r="AB23" s="2">
        <f t="shared" si="23"/>
        <v>2651.0608797334858</v>
      </c>
      <c r="AC23" s="2">
        <f t="shared" si="24"/>
        <v>2779.57292826406</v>
      </c>
      <c r="AD23" s="2">
        <f t="shared" si="16"/>
        <v>1.1596252775485365</v>
      </c>
      <c r="AE23" s="2">
        <f t="shared" si="17"/>
        <v>3.5103849244988603</v>
      </c>
      <c r="AF23" s="2">
        <f t="shared" si="19"/>
        <v>0.74364327168920863</v>
      </c>
      <c r="AG23" s="2">
        <f t="shared" si="20"/>
        <v>8.1150372632953174E-2</v>
      </c>
    </row>
    <row r="24" spans="1:33" x14ac:dyDescent="0.3">
      <c r="A24" s="2" t="s">
        <v>53</v>
      </c>
      <c r="B24" s="1" t="s">
        <v>33</v>
      </c>
      <c r="C24" s="31">
        <v>0.5</v>
      </c>
      <c r="D24" s="1">
        <v>2.1519379844961199</v>
      </c>
      <c r="E24" s="1">
        <v>0.67243589743589705</v>
      </c>
      <c r="F24" s="1">
        <v>4.8792184724689103E-2</v>
      </c>
      <c r="H24" s="1">
        <v>9.81</v>
      </c>
      <c r="I24" s="2">
        <v>1315</v>
      </c>
      <c r="J24" s="3">
        <f t="shared" si="0"/>
        <v>2.859746125910689E-2</v>
      </c>
      <c r="K24" s="2">
        <f t="shared" si="1"/>
        <v>1.4298730629553445E-2</v>
      </c>
      <c r="L24" s="2">
        <v>0.4</v>
      </c>
      <c r="M24" s="7">
        <v>1</v>
      </c>
      <c r="N24" s="2">
        <v>18</v>
      </c>
      <c r="O24" s="4">
        <f t="shared" si="2"/>
        <v>2</v>
      </c>
      <c r="P24" s="2">
        <f t="shared" si="3"/>
        <v>2.1519379844961199</v>
      </c>
      <c r="Q24" s="1">
        <f t="shared" si="18"/>
        <v>1.1519379844961199</v>
      </c>
      <c r="R24" s="2">
        <f t="shared" si="4"/>
        <v>0.32756410256410295</v>
      </c>
      <c r="S24" s="2">
        <f t="shared" si="5"/>
        <v>25.087947916418969</v>
      </c>
      <c r="T24" s="2">
        <f t="shared" si="6"/>
        <v>0.10824807286561576</v>
      </c>
      <c r="U24" s="2">
        <f t="shared" si="21"/>
        <v>231.76346009932504</v>
      </c>
      <c r="V24" s="5">
        <f t="shared" si="8"/>
        <v>1.1398884179120564E-3</v>
      </c>
      <c r="W24" s="5">
        <f t="shared" si="9"/>
        <v>368.91153986166779</v>
      </c>
      <c r="X24" s="2">
        <f t="shared" si="10"/>
        <v>350.91153986166779</v>
      </c>
      <c r="Y24" s="2">
        <f t="shared" si="11"/>
        <v>827667.74681389041</v>
      </c>
      <c r="Z24" s="2">
        <f t="shared" si="22"/>
        <v>1.0512949788060426</v>
      </c>
      <c r="AA24" s="12">
        <f t="shared" si="13"/>
        <v>4.8792184724689096E-2</v>
      </c>
      <c r="AB24" s="2">
        <f t="shared" si="23"/>
        <v>2243.539866289475</v>
      </c>
      <c r="AC24" s="2">
        <f t="shared" si="24"/>
        <v>2358.6221961813048</v>
      </c>
      <c r="AD24" s="2">
        <f t="shared" si="16"/>
        <v>1.1602482369495606</v>
      </c>
      <c r="AE24" s="2">
        <f t="shared" si="17"/>
        <v>3.4479416720428961</v>
      </c>
      <c r="AF24" s="2">
        <f t="shared" si="19"/>
        <v>0.74284493356481296</v>
      </c>
      <c r="AG24" s="2">
        <f t="shared" si="20"/>
        <v>8.4116303491135233E-2</v>
      </c>
    </row>
    <row r="25" spans="1:33" x14ac:dyDescent="0.3">
      <c r="A25" s="2" t="s">
        <v>53</v>
      </c>
      <c r="B25" s="1" t="s">
        <v>33</v>
      </c>
      <c r="C25" s="31">
        <v>0.5</v>
      </c>
      <c r="D25" s="1">
        <v>2.1596899224806099</v>
      </c>
      <c r="E25" s="1">
        <v>0.67628205128205099</v>
      </c>
      <c r="F25" s="1">
        <v>5.0603907637655397E-2</v>
      </c>
      <c r="H25" s="1">
        <v>9.81</v>
      </c>
      <c r="I25" s="2">
        <v>1315</v>
      </c>
      <c r="J25" s="3">
        <f t="shared" si="0"/>
        <v>2.7573613927260984E-2</v>
      </c>
      <c r="K25" s="2">
        <f t="shared" si="1"/>
        <v>1.3786806963630492E-2</v>
      </c>
      <c r="L25" s="2">
        <v>0.4</v>
      </c>
      <c r="M25" s="7">
        <v>1</v>
      </c>
      <c r="N25" s="2">
        <v>18</v>
      </c>
      <c r="O25" s="4">
        <f t="shared" si="2"/>
        <v>2</v>
      </c>
      <c r="P25" s="2">
        <f t="shared" si="3"/>
        <v>2.1596899224806099</v>
      </c>
      <c r="Q25" s="1">
        <f t="shared" si="18"/>
        <v>1.1596899224806099</v>
      </c>
      <c r="R25" s="2">
        <f t="shared" si="4"/>
        <v>0.32371794871794901</v>
      </c>
      <c r="S25" s="2">
        <f t="shared" si="5"/>
        <v>23.279282453903555</v>
      </c>
      <c r="T25" s="2">
        <f t="shared" si="6"/>
        <v>0.10694050815608576</v>
      </c>
      <c r="U25" s="2">
        <f t="shared" si="21"/>
        <v>217.68441963943278</v>
      </c>
      <c r="V25" s="5">
        <f t="shared" si="8"/>
        <v>1.1844700961836279E-3</v>
      </c>
      <c r="W25" s="5">
        <f t="shared" si="9"/>
        <v>355.7037557037558</v>
      </c>
      <c r="X25" s="2">
        <f t="shared" si="10"/>
        <v>337.70375570375586</v>
      </c>
      <c r="Y25" s="2">
        <f t="shared" si="11"/>
        <v>712631.36391273781</v>
      </c>
      <c r="Z25" s="2">
        <f t="shared" si="22"/>
        <v>1.0533011543282631</v>
      </c>
      <c r="AA25" s="12">
        <f t="shared" si="13"/>
        <v>5.0603907637655404E-2</v>
      </c>
      <c r="AB25" s="2">
        <f t="shared" si="23"/>
        <v>2003.4406510631434</v>
      </c>
      <c r="AC25" s="2">
        <f t="shared" si="24"/>
        <v>2110.2263503929757</v>
      </c>
      <c r="AD25" s="2">
        <f t="shared" si="16"/>
        <v>1.1606907173094916</v>
      </c>
      <c r="AE25" s="2">
        <f t="shared" si="17"/>
        <v>3.4062928303450106</v>
      </c>
      <c r="AF25" s="2">
        <f t="shared" si="19"/>
        <v>0.74227866447004864</v>
      </c>
      <c r="AG25" s="2">
        <f t="shared" si="20"/>
        <v>8.6185863886793418E-2</v>
      </c>
    </row>
    <row r="26" spans="1:33" x14ac:dyDescent="0.3">
      <c r="A26" s="2" t="s">
        <v>53</v>
      </c>
      <c r="B26" s="1" t="s">
        <v>33</v>
      </c>
      <c r="C26" s="31">
        <v>0.5</v>
      </c>
      <c r="D26" s="1">
        <v>2.14031007751937</v>
      </c>
      <c r="E26" s="1">
        <v>0.67243589743589705</v>
      </c>
      <c r="F26" s="1">
        <v>5.0710479573712199E-2</v>
      </c>
      <c r="H26" s="1">
        <v>9.81</v>
      </c>
      <c r="I26" s="2">
        <v>1315</v>
      </c>
      <c r="J26" s="3">
        <f t="shared" si="0"/>
        <v>2.7515665876976042E-2</v>
      </c>
      <c r="K26" s="2">
        <f t="shared" si="1"/>
        <v>1.3757832938488021E-2</v>
      </c>
      <c r="L26" s="2">
        <v>0.4</v>
      </c>
      <c r="M26" s="7">
        <v>1</v>
      </c>
      <c r="N26" s="2">
        <v>18</v>
      </c>
      <c r="O26" s="4">
        <f t="shared" si="2"/>
        <v>2</v>
      </c>
      <c r="P26" s="2">
        <f t="shared" si="3"/>
        <v>2.14031007751937</v>
      </c>
      <c r="Q26" s="1">
        <f t="shared" si="18"/>
        <v>1.14031007751937</v>
      </c>
      <c r="R26" s="2">
        <f t="shared" si="4"/>
        <v>0.32756410256410295</v>
      </c>
      <c r="S26" s="2">
        <f t="shared" si="5"/>
        <v>23.178936716558447</v>
      </c>
      <c r="T26" s="2">
        <f t="shared" si="6"/>
        <v>0.10686554107357349</v>
      </c>
      <c r="U26" s="2">
        <f t="shared" si="21"/>
        <v>216.89813651531034</v>
      </c>
      <c r="V26" s="5">
        <f t="shared" si="8"/>
        <v>1.1870978472157242E-3</v>
      </c>
      <c r="W26" s="5">
        <f t="shared" si="9"/>
        <v>354.95621716287252</v>
      </c>
      <c r="X26" s="2">
        <f t="shared" si="10"/>
        <v>336.95621716287246</v>
      </c>
      <c r="Y26" s="2">
        <f t="shared" si="11"/>
        <v>706500.98611294094</v>
      </c>
      <c r="Z26" s="2">
        <f t="shared" si="22"/>
        <v>1.0534194031247077</v>
      </c>
      <c r="AA26" s="12">
        <f t="shared" si="13"/>
        <v>5.0710479573712205E-2</v>
      </c>
      <c r="AB26" s="2">
        <f t="shared" si="23"/>
        <v>1990.3891013937678</v>
      </c>
      <c r="AC26" s="2">
        <f t="shared" si="24"/>
        <v>2096.7144991761465</v>
      </c>
      <c r="AD26" s="2">
        <f t="shared" si="16"/>
        <v>1.1607167771152478</v>
      </c>
      <c r="AE26" s="2">
        <f t="shared" si="17"/>
        <v>3.403904962173478</v>
      </c>
      <c r="AF26" s="2">
        <f t="shared" si="19"/>
        <v>0.74224533433982587</v>
      </c>
      <c r="AG26" s="2">
        <f t="shared" si="20"/>
        <v>8.6306826527577887E-2</v>
      </c>
    </row>
    <row r="27" spans="1:33" x14ac:dyDescent="0.3">
      <c r="A27" s="2" t="s">
        <v>53</v>
      </c>
      <c r="B27" s="1" t="s">
        <v>33</v>
      </c>
      <c r="C27" s="31">
        <v>0.5</v>
      </c>
      <c r="D27" s="1">
        <v>2.1596899224806099</v>
      </c>
      <c r="E27" s="1">
        <v>0.63397435897435805</v>
      </c>
      <c r="F27" s="1">
        <v>5.2628774422735301E-2</v>
      </c>
      <c r="H27" s="1">
        <v>9.81</v>
      </c>
      <c r="I27" s="2">
        <v>1315</v>
      </c>
      <c r="J27" s="3">
        <f t="shared" si="0"/>
        <v>2.6512732392428816E-2</v>
      </c>
      <c r="K27" s="2">
        <f t="shared" si="1"/>
        <v>1.3256366196214408E-2</v>
      </c>
      <c r="L27" s="2">
        <v>0.4</v>
      </c>
      <c r="M27" s="7">
        <v>1</v>
      </c>
      <c r="N27" s="2">
        <v>18</v>
      </c>
      <c r="O27" s="4">
        <f t="shared" ref="O27:O36" si="25">J27/K27</f>
        <v>2</v>
      </c>
      <c r="P27" s="2">
        <f t="shared" si="3"/>
        <v>2.1596899224806099</v>
      </c>
      <c r="Q27" s="1">
        <f t="shared" si="18"/>
        <v>1.1596899224806099</v>
      </c>
      <c r="R27" s="2">
        <f t="shared" si="4"/>
        <v>0.36602564102564195</v>
      </c>
      <c r="S27" s="2">
        <f t="shared" si="5"/>
        <v>21.476521209137349</v>
      </c>
      <c r="T27" s="2">
        <f t="shared" si="6"/>
        <v>0.10555103819243569</v>
      </c>
      <c r="U27" s="2">
        <f t="shared" ref="U27:U36" si="26">S27/T27</f>
        <v>203.47048761360702</v>
      </c>
      <c r="V27" s="5">
        <f t="shared" si="8"/>
        <v>1.2344984615640998E-3</v>
      </c>
      <c r="W27" s="5">
        <f t="shared" si="9"/>
        <v>342.01822477219065</v>
      </c>
      <c r="X27" s="2">
        <f t="shared" si="10"/>
        <v>324.01822477219065</v>
      </c>
      <c r="Y27" s="2">
        <f t="shared" si="11"/>
        <v>606531.8666691822</v>
      </c>
      <c r="Z27" s="2">
        <f t="shared" ref="Z27:Z36" si="27">W27/X27</f>
        <v>1.0555524307703845</v>
      </c>
      <c r="AA27" s="12">
        <f t="shared" si="13"/>
        <v>5.2628774422735301E-2</v>
      </c>
      <c r="AB27" s="2">
        <f t="shared" ref="AB27:AB36" si="28">Y27/W27</f>
        <v>1773.3904883962753</v>
      </c>
      <c r="AC27" s="2">
        <f t="shared" ref="AC27:AC36" si="29">Y27/X27</f>
        <v>1871.9066407317675</v>
      </c>
      <c r="AD27" s="2">
        <f t="shared" si="16"/>
        <v>1.1611864548345949</v>
      </c>
      <c r="AE27" s="2">
        <f t="shared" si="17"/>
        <v>3.3620351242917255</v>
      </c>
      <c r="AF27" s="2">
        <f t="shared" si="19"/>
        <v>0.7416450076823714</v>
      </c>
      <c r="AG27" s="2">
        <f t="shared" si="20"/>
        <v>8.8469894078831074E-2</v>
      </c>
    </row>
    <row r="28" spans="1:33" x14ac:dyDescent="0.3">
      <c r="A28" s="2" t="s">
        <v>53</v>
      </c>
      <c r="B28" s="1" t="s">
        <v>33</v>
      </c>
      <c r="C28" s="31">
        <v>0.5</v>
      </c>
      <c r="D28" s="1">
        <v>2.1596899224806099</v>
      </c>
      <c r="E28" s="1">
        <v>0.66538461538461502</v>
      </c>
      <c r="F28" s="1">
        <v>5.2415630550621602E-2</v>
      </c>
      <c r="H28" s="1">
        <v>9.81</v>
      </c>
      <c r="I28" s="2">
        <v>1315</v>
      </c>
      <c r="J28" s="3">
        <f t="shared" si="0"/>
        <v>2.6620544248989027E-2</v>
      </c>
      <c r="K28" s="2">
        <f t="shared" si="1"/>
        <v>1.3310272124494513E-2</v>
      </c>
      <c r="L28" s="2">
        <v>0.4</v>
      </c>
      <c r="M28" s="7">
        <v>1</v>
      </c>
      <c r="N28" s="2">
        <v>18</v>
      </c>
      <c r="O28" s="4">
        <f t="shared" si="25"/>
        <v>2</v>
      </c>
      <c r="P28" s="2">
        <f t="shared" si="3"/>
        <v>2.1596899224806099</v>
      </c>
      <c r="Q28" s="1">
        <f t="shared" si="18"/>
        <v>1.1596899224806099</v>
      </c>
      <c r="R28" s="2">
        <f t="shared" si="4"/>
        <v>0.33461538461538498</v>
      </c>
      <c r="S28" s="2">
        <f t="shared" si="5"/>
        <v>21.656412633435881</v>
      </c>
      <c r="T28" s="2">
        <f t="shared" si="6"/>
        <v>0.10569391625272957</v>
      </c>
      <c r="U28" s="2">
        <f t="shared" si="26"/>
        <v>204.89743782085091</v>
      </c>
      <c r="V28" s="5">
        <f t="shared" si="8"/>
        <v>1.2292222492976004E-3</v>
      </c>
      <c r="W28" s="5">
        <f t="shared" si="9"/>
        <v>343.40901389359584</v>
      </c>
      <c r="X28" s="2">
        <f t="shared" si="10"/>
        <v>325.40901389359584</v>
      </c>
      <c r="Y28" s="2">
        <f t="shared" si="11"/>
        <v>616735.27371677826</v>
      </c>
      <c r="Z28" s="2">
        <f t="shared" si="27"/>
        <v>1.0553150012183921</v>
      </c>
      <c r="AA28" s="12">
        <f t="shared" si="13"/>
        <v>5.2415630550621602E-2</v>
      </c>
      <c r="AB28" s="2">
        <f t="shared" si="28"/>
        <v>1795.9204585930631</v>
      </c>
      <c r="AC28" s="2">
        <f t="shared" si="29"/>
        <v>1895.2618009482737</v>
      </c>
      <c r="AD28" s="2">
        <f t="shared" si="16"/>
        <v>1.1611342120883754</v>
      </c>
      <c r="AE28" s="2">
        <f t="shared" si="17"/>
        <v>3.3665861080188888</v>
      </c>
      <c r="AF28" s="2">
        <f t="shared" si="19"/>
        <v>0.74171174664011619</v>
      </c>
      <c r="AG28" s="2">
        <f t="shared" si="20"/>
        <v>8.8230866827386567E-2</v>
      </c>
    </row>
    <row r="29" spans="1:33" x14ac:dyDescent="0.3">
      <c r="A29" s="2" t="s">
        <v>53</v>
      </c>
      <c r="B29" s="1" t="s">
        <v>33</v>
      </c>
      <c r="C29" s="31">
        <v>0.5</v>
      </c>
      <c r="D29" s="1">
        <v>2.10542635658914</v>
      </c>
      <c r="E29" s="1">
        <v>0.66538461538461502</v>
      </c>
      <c r="F29" s="1">
        <v>5.3268206039076303E-2</v>
      </c>
      <c r="H29" s="1">
        <v>9.81</v>
      </c>
      <c r="I29" s="2">
        <v>1315</v>
      </c>
      <c r="J29" s="3">
        <f t="shared" si="0"/>
        <v>2.619447351742802E-2</v>
      </c>
      <c r="K29" s="2">
        <f t="shared" si="1"/>
        <v>1.309723675871401E-2</v>
      </c>
      <c r="L29" s="2">
        <v>0.4</v>
      </c>
      <c r="M29" s="7">
        <v>1</v>
      </c>
      <c r="N29" s="2">
        <v>18</v>
      </c>
      <c r="O29" s="4">
        <f t="shared" si="25"/>
        <v>2</v>
      </c>
      <c r="P29" s="2">
        <f t="shared" si="3"/>
        <v>2.10542635658914</v>
      </c>
      <c r="Q29" s="1">
        <f t="shared" si="18"/>
        <v>1.10542635658914</v>
      </c>
      <c r="R29" s="2">
        <f t="shared" si="4"/>
        <v>0.33461538461538498</v>
      </c>
      <c r="S29" s="2">
        <f t="shared" si="5"/>
        <v>20.949857780213232</v>
      </c>
      <c r="T29" s="2">
        <f t="shared" si="6"/>
        <v>0.10512699195393355</v>
      </c>
      <c r="U29" s="2">
        <f t="shared" si="26"/>
        <v>199.28143468038562</v>
      </c>
      <c r="V29" s="5">
        <f t="shared" si="8"/>
        <v>1.2503413527784532E-3</v>
      </c>
      <c r="W29" s="5">
        <f t="shared" si="9"/>
        <v>337.91263754584912</v>
      </c>
      <c r="X29" s="2">
        <f t="shared" si="10"/>
        <v>319.91263754584912</v>
      </c>
      <c r="Y29" s="2">
        <f t="shared" si="11"/>
        <v>577148.95142967661</v>
      </c>
      <c r="Z29" s="2">
        <f t="shared" si="27"/>
        <v>1.0562653608750303</v>
      </c>
      <c r="AA29" s="12">
        <f t="shared" si="13"/>
        <v>5.3268206039076296E-2</v>
      </c>
      <c r="AB29" s="2">
        <f t="shared" si="28"/>
        <v>1707.9827366662696</v>
      </c>
      <c r="AC29" s="2">
        <f t="shared" si="29"/>
        <v>1804.0830017131193</v>
      </c>
      <c r="AD29" s="2">
        <f t="shared" si="16"/>
        <v>1.1613432677400544</v>
      </c>
      <c r="AE29" s="2">
        <f t="shared" si="17"/>
        <v>3.3485283092704612</v>
      </c>
      <c r="AF29" s="2">
        <f t="shared" si="19"/>
        <v>0.7414447367376692</v>
      </c>
      <c r="AG29" s="2">
        <f t="shared" si="20"/>
        <v>8.9185047952949334E-2</v>
      </c>
    </row>
    <row r="30" spans="1:33" x14ac:dyDescent="0.3">
      <c r="A30" s="2" t="s">
        <v>53</v>
      </c>
      <c r="B30" s="1" t="s">
        <v>33</v>
      </c>
      <c r="C30" s="31">
        <v>0.5</v>
      </c>
      <c r="D30" s="1">
        <v>2.13255813953488</v>
      </c>
      <c r="E30" s="1">
        <v>0.66538461538461502</v>
      </c>
      <c r="F30" s="1">
        <v>5.3161634103019502E-2</v>
      </c>
      <c r="H30" s="1">
        <v>9.81</v>
      </c>
      <c r="I30" s="2">
        <v>1315</v>
      </c>
      <c r="J30" s="3">
        <f t="shared" si="0"/>
        <v>2.6246984991235071E-2</v>
      </c>
      <c r="K30" s="2">
        <f t="shared" si="1"/>
        <v>1.3123492495617535E-2</v>
      </c>
      <c r="L30" s="2">
        <v>0.4</v>
      </c>
      <c r="M30" s="7">
        <v>1</v>
      </c>
      <c r="N30" s="2">
        <v>18</v>
      </c>
      <c r="O30" s="4">
        <f t="shared" si="25"/>
        <v>2</v>
      </c>
      <c r="P30" s="2">
        <f t="shared" si="3"/>
        <v>2.13255813953488</v>
      </c>
      <c r="Q30" s="1">
        <f t="shared" si="18"/>
        <v>1.13255813953488</v>
      </c>
      <c r="R30" s="2">
        <f t="shared" si="4"/>
        <v>0.33461538461538498</v>
      </c>
      <c r="S30" s="2">
        <f t="shared" si="5"/>
        <v>21.036305145923688</v>
      </c>
      <c r="T30" s="2">
        <f t="shared" si="6"/>
        <v>0.10519719363887269</v>
      </c>
      <c r="U30" s="2">
        <f t="shared" si="26"/>
        <v>199.97021230564755</v>
      </c>
      <c r="V30" s="5">
        <f t="shared" si="8"/>
        <v>1.2476993849046291E-3</v>
      </c>
      <c r="W30" s="5">
        <f t="shared" si="9"/>
        <v>338.59004343468115</v>
      </c>
      <c r="X30" s="2">
        <f t="shared" si="10"/>
        <v>320.59004343468115</v>
      </c>
      <c r="Y30" s="2">
        <f t="shared" si="11"/>
        <v>581921.86646302626</v>
      </c>
      <c r="Z30" s="2">
        <f t="shared" si="27"/>
        <v>1.0561464723207084</v>
      </c>
      <c r="AA30" s="12">
        <f t="shared" si="13"/>
        <v>5.3161634103019502E-2</v>
      </c>
      <c r="AB30" s="2">
        <f t="shared" si="28"/>
        <v>1718.6620745251987</v>
      </c>
      <c r="AC30" s="2">
        <f t="shared" si="29"/>
        <v>1815.1588871211791</v>
      </c>
      <c r="AD30" s="2">
        <f t="shared" si="16"/>
        <v>1.1613171234312574</v>
      </c>
      <c r="AE30" s="2">
        <f t="shared" si="17"/>
        <v>3.3507643889395156</v>
      </c>
      <c r="AF30" s="2">
        <f t="shared" si="19"/>
        <v>0.74147812086326381</v>
      </c>
      <c r="AG30" s="2">
        <f t="shared" si="20"/>
        <v>8.9066055205115124E-2</v>
      </c>
    </row>
    <row r="31" spans="1:33" x14ac:dyDescent="0.3">
      <c r="A31" s="2" t="s">
        <v>53</v>
      </c>
      <c r="B31" s="1" t="s">
        <v>33</v>
      </c>
      <c r="C31" s="31">
        <v>0.5</v>
      </c>
      <c r="D31" s="1">
        <v>2.1829457364341001</v>
      </c>
      <c r="E31" s="1">
        <v>0.64551282051282</v>
      </c>
      <c r="F31" s="1">
        <v>5.4440497335701603E-2</v>
      </c>
      <c r="H31" s="1">
        <v>9.81</v>
      </c>
      <c r="I31" s="2">
        <v>1315</v>
      </c>
      <c r="J31" s="3">
        <f t="shared" si="0"/>
        <v>2.5630416338912401E-2</v>
      </c>
      <c r="K31" s="2">
        <f t="shared" si="1"/>
        <v>1.2815208169456201E-2</v>
      </c>
      <c r="L31" s="2">
        <v>0.4</v>
      </c>
      <c r="M31" s="7">
        <v>1</v>
      </c>
      <c r="N31" s="2">
        <v>18</v>
      </c>
      <c r="O31" s="4">
        <f t="shared" si="25"/>
        <v>2</v>
      </c>
      <c r="P31" s="2">
        <f t="shared" si="3"/>
        <v>2.1829457364341001</v>
      </c>
      <c r="Q31" s="1">
        <f t="shared" si="18"/>
        <v>1.1829457364341001</v>
      </c>
      <c r="R31" s="2">
        <f t="shared" si="4"/>
        <v>0.35448717948718</v>
      </c>
      <c r="S31" s="2">
        <f t="shared" si="5"/>
        <v>20.032490904107689</v>
      </c>
      <c r="T31" s="2">
        <f t="shared" si="6"/>
        <v>0.10436692796714821</v>
      </c>
      <c r="U31" s="2">
        <f t="shared" si="26"/>
        <v>191.94290082403649</v>
      </c>
      <c r="V31" s="5">
        <f t="shared" si="8"/>
        <v>1.2794423050833308E-3</v>
      </c>
      <c r="W31" s="5">
        <f t="shared" si="9"/>
        <v>330.63621533442085</v>
      </c>
      <c r="X31" s="2">
        <f t="shared" si="10"/>
        <v>312.63621533442085</v>
      </c>
      <c r="Y31" s="2">
        <f t="shared" si="11"/>
        <v>527710.40974745178</v>
      </c>
      <c r="Z31" s="2">
        <f t="shared" si="27"/>
        <v>1.0575749037287498</v>
      </c>
      <c r="AA31" s="12">
        <f t="shared" si="13"/>
        <v>5.4440497335701603E-2</v>
      </c>
      <c r="AB31" s="2">
        <f t="shared" si="28"/>
        <v>1596.045397548786</v>
      </c>
      <c r="AC31" s="2">
        <f t="shared" si="29"/>
        <v>1687.9375576593718</v>
      </c>
      <c r="AD31" s="2">
        <f t="shared" si="16"/>
        <v>1.1616310884322836</v>
      </c>
      <c r="AE31" s="2">
        <f t="shared" si="17"/>
        <v>3.3243185822602634</v>
      </c>
      <c r="AF31" s="2">
        <f t="shared" si="19"/>
        <v>0.74107736244518285</v>
      </c>
      <c r="AG31" s="2">
        <f t="shared" si="20"/>
        <v>9.0488778460281638E-2</v>
      </c>
    </row>
    <row r="32" spans="1:33" x14ac:dyDescent="0.3">
      <c r="A32" s="2" t="s">
        <v>53</v>
      </c>
      <c r="B32" s="1" t="s">
        <v>33</v>
      </c>
      <c r="C32" s="31">
        <v>0.5</v>
      </c>
      <c r="D32" s="1">
        <v>2.1635658914728602</v>
      </c>
      <c r="E32" s="1">
        <v>0.65705128205128205</v>
      </c>
      <c r="F32" s="1">
        <v>5.4440497335701603E-2</v>
      </c>
      <c r="H32" s="1">
        <v>9.81</v>
      </c>
      <c r="I32" s="2">
        <v>1315</v>
      </c>
      <c r="J32" s="3">
        <f t="shared" si="0"/>
        <v>2.5630416338912401E-2</v>
      </c>
      <c r="K32" s="2">
        <f t="shared" si="1"/>
        <v>1.2815208169456201E-2</v>
      </c>
      <c r="L32" s="2">
        <v>0.4</v>
      </c>
      <c r="M32" s="7">
        <v>1</v>
      </c>
      <c r="N32" s="2">
        <v>18</v>
      </c>
      <c r="O32" s="4">
        <f t="shared" si="25"/>
        <v>2</v>
      </c>
      <c r="P32" s="2">
        <f t="shared" si="3"/>
        <v>2.1635658914728602</v>
      </c>
      <c r="Q32" s="1">
        <f t="shared" si="18"/>
        <v>1.1635658914728602</v>
      </c>
      <c r="R32" s="2">
        <f t="shared" si="4"/>
        <v>0.34294871794871795</v>
      </c>
      <c r="S32" s="2">
        <f t="shared" si="5"/>
        <v>20.032490904107689</v>
      </c>
      <c r="T32" s="2">
        <f t="shared" si="6"/>
        <v>0.10436692796714821</v>
      </c>
      <c r="U32" s="2">
        <f t="shared" si="26"/>
        <v>191.94290082403649</v>
      </c>
      <c r="V32" s="5">
        <f t="shared" si="8"/>
        <v>1.2794423050833308E-3</v>
      </c>
      <c r="W32" s="5">
        <f t="shared" si="9"/>
        <v>330.63621533442085</v>
      </c>
      <c r="X32" s="2">
        <f t="shared" si="10"/>
        <v>312.63621533442085</v>
      </c>
      <c r="Y32" s="2">
        <f t="shared" si="11"/>
        <v>527710.40974745178</v>
      </c>
      <c r="Z32" s="2">
        <f t="shared" si="27"/>
        <v>1.0575749037287498</v>
      </c>
      <c r="AA32" s="12">
        <f t="shared" si="13"/>
        <v>5.4440497335701603E-2</v>
      </c>
      <c r="AB32" s="2">
        <f t="shared" si="28"/>
        <v>1596.045397548786</v>
      </c>
      <c r="AC32" s="2">
        <f t="shared" si="29"/>
        <v>1687.9375576593718</v>
      </c>
      <c r="AD32" s="2">
        <f t="shared" si="16"/>
        <v>1.1616310884322836</v>
      </c>
      <c r="AE32" s="2">
        <f t="shared" si="17"/>
        <v>3.3243185822602634</v>
      </c>
      <c r="AF32" s="2">
        <f t="shared" si="19"/>
        <v>0.74107736244518285</v>
      </c>
      <c r="AG32" s="2">
        <f t="shared" si="20"/>
        <v>9.0488778460281638E-2</v>
      </c>
    </row>
    <row r="33" spans="1:33" x14ac:dyDescent="0.3">
      <c r="A33" s="2" t="s">
        <v>53</v>
      </c>
      <c r="B33" s="1" t="s">
        <v>33</v>
      </c>
      <c r="C33" s="31">
        <v>0.5</v>
      </c>
      <c r="D33" s="1">
        <v>2.1480620155038701</v>
      </c>
      <c r="E33" s="1">
        <v>0.65705128205128205</v>
      </c>
      <c r="F33" s="1">
        <v>5.4440497335701603E-2</v>
      </c>
      <c r="H33" s="1">
        <v>9.81</v>
      </c>
      <c r="I33" s="2">
        <v>1315</v>
      </c>
      <c r="J33" s="3">
        <f t="shared" si="0"/>
        <v>2.5630416338912401E-2</v>
      </c>
      <c r="K33" s="2">
        <f t="shared" si="1"/>
        <v>1.2815208169456201E-2</v>
      </c>
      <c r="L33" s="2">
        <v>0.4</v>
      </c>
      <c r="M33" s="7">
        <v>1</v>
      </c>
      <c r="N33" s="2">
        <v>18</v>
      </c>
      <c r="O33" s="4">
        <f t="shared" si="25"/>
        <v>2</v>
      </c>
      <c r="P33" s="2">
        <f t="shared" si="3"/>
        <v>2.1480620155038701</v>
      </c>
      <c r="Q33" s="1">
        <f t="shared" si="18"/>
        <v>1.1480620155038701</v>
      </c>
      <c r="R33" s="2">
        <f t="shared" si="4"/>
        <v>0.34294871794871795</v>
      </c>
      <c r="S33" s="2">
        <f t="shared" si="5"/>
        <v>20.032490904107689</v>
      </c>
      <c r="T33" s="2">
        <f t="shared" si="6"/>
        <v>0.10436692796714821</v>
      </c>
      <c r="U33" s="2">
        <f t="shared" si="26"/>
        <v>191.94290082403649</v>
      </c>
      <c r="V33" s="5">
        <f t="shared" si="8"/>
        <v>1.2794423050833308E-3</v>
      </c>
      <c r="W33" s="5">
        <f t="shared" si="9"/>
        <v>330.63621533442085</v>
      </c>
      <c r="X33" s="2">
        <f t="shared" si="10"/>
        <v>312.63621533442085</v>
      </c>
      <c r="Y33" s="2">
        <f t="shared" si="11"/>
        <v>527710.40974745178</v>
      </c>
      <c r="Z33" s="2">
        <f t="shared" si="27"/>
        <v>1.0575749037287498</v>
      </c>
      <c r="AA33" s="12">
        <f t="shared" si="13"/>
        <v>5.4440497335701603E-2</v>
      </c>
      <c r="AB33" s="2">
        <f t="shared" si="28"/>
        <v>1596.045397548786</v>
      </c>
      <c r="AC33" s="2">
        <f t="shared" si="29"/>
        <v>1687.9375576593718</v>
      </c>
      <c r="AD33" s="2">
        <f t="shared" si="16"/>
        <v>1.1616310884322836</v>
      </c>
      <c r="AE33" s="2">
        <f t="shared" si="17"/>
        <v>3.3243185822602634</v>
      </c>
      <c r="AF33" s="2">
        <f t="shared" si="19"/>
        <v>0.74107736244518285</v>
      </c>
      <c r="AG33" s="2">
        <f t="shared" si="20"/>
        <v>9.0488778460281638E-2</v>
      </c>
    </row>
    <row r="34" spans="1:33" x14ac:dyDescent="0.3">
      <c r="A34" s="2" t="s">
        <v>53</v>
      </c>
      <c r="B34" s="1" t="s">
        <v>33</v>
      </c>
      <c r="C34" s="31">
        <v>0.5</v>
      </c>
      <c r="D34" s="1">
        <v>2.1480620155038701</v>
      </c>
      <c r="E34" s="1">
        <v>0.65128205128205097</v>
      </c>
      <c r="F34" s="1">
        <v>5.7104795737122502E-2</v>
      </c>
      <c r="H34" s="1">
        <v>9.81</v>
      </c>
      <c r="I34" s="2">
        <v>1315</v>
      </c>
      <c r="J34" s="3">
        <f t="shared" si="0"/>
        <v>2.4434595980953839E-2</v>
      </c>
      <c r="K34" s="2">
        <f t="shared" si="1"/>
        <v>1.2217297990476919E-2</v>
      </c>
      <c r="L34" s="2">
        <v>0.4</v>
      </c>
      <c r="M34" s="7">
        <v>1</v>
      </c>
      <c r="N34" s="2">
        <v>18</v>
      </c>
      <c r="O34" s="4">
        <f t="shared" si="25"/>
        <v>2</v>
      </c>
      <c r="P34" s="2">
        <f t="shared" si="3"/>
        <v>2.1480620155038701</v>
      </c>
      <c r="Q34" s="1">
        <f t="shared" si="18"/>
        <v>1.1480620155038701</v>
      </c>
      <c r="R34" s="2">
        <f t="shared" si="4"/>
        <v>0.34871794871794903</v>
      </c>
      <c r="S34" s="2">
        <f t="shared" si="5"/>
        <v>18.155512828678731</v>
      </c>
      <c r="T34" s="2">
        <f t="shared" si="6"/>
        <v>0.10271788473928195</v>
      </c>
      <c r="U34" s="2">
        <f t="shared" si="26"/>
        <v>176.75123348539515</v>
      </c>
      <c r="V34" s="5">
        <f t="shared" si="8"/>
        <v>1.345849947149748E-3</v>
      </c>
      <c r="W34" s="5">
        <f t="shared" si="9"/>
        <v>315.20995334370173</v>
      </c>
      <c r="X34" s="2">
        <f t="shared" si="10"/>
        <v>297.20995334370173</v>
      </c>
      <c r="Y34" s="2">
        <f t="shared" si="11"/>
        <v>433453.77958509815</v>
      </c>
      <c r="Z34" s="2">
        <f t="shared" si="27"/>
        <v>1.0605632476217386</v>
      </c>
      <c r="AA34" s="12">
        <f t="shared" si="13"/>
        <v>5.7104795737122502E-2</v>
      </c>
      <c r="AB34" s="2">
        <f t="shared" si="28"/>
        <v>1375.1271969272639</v>
      </c>
      <c r="AC34" s="2">
        <f t="shared" si="29"/>
        <v>1458.409365866157</v>
      </c>
      <c r="AD34" s="2">
        <f t="shared" si="16"/>
        <v>1.1622868218946252</v>
      </c>
      <c r="AE34" s="2">
        <f t="shared" si="17"/>
        <v>3.2717928909122183</v>
      </c>
      <c r="AF34" s="2">
        <f t="shared" si="19"/>
        <v>0.74024140330786126</v>
      </c>
      <c r="AG34" s="2">
        <f t="shared" si="20"/>
        <v>9.3417532364855879E-2</v>
      </c>
    </row>
    <row r="35" spans="1:33" x14ac:dyDescent="0.3">
      <c r="A35" s="2" t="s">
        <v>53</v>
      </c>
      <c r="B35" s="1" t="s">
        <v>33</v>
      </c>
      <c r="C35" s="31">
        <v>0.5</v>
      </c>
      <c r="D35" s="1">
        <v>2.13255813953488</v>
      </c>
      <c r="E35" s="1">
        <v>0.65705128205128205</v>
      </c>
      <c r="F35" s="1">
        <v>5.4866785079928898E-2</v>
      </c>
      <c r="H35" s="1">
        <v>9.81</v>
      </c>
      <c r="I35" s="2">
        <v>1315</v>
      </c>
      <c r="J35" s="3">
        <f t="shared" si="0"/>
        <v>2.5431280698856133E-2</v>
      </c>
      <c r="K35" s="2">
        <f t="shared" si="1"/>
        <v>1.2715640349428067E-2</v>
      </c>
      <c r="L35" s="2">
        <v>0.4</v>
      </c>
      <c r="M35" s="7">
        <v>1</v>
      </c>
      <c r="N35" s="2">
        <v>18</v>
      </c>
      <c r="O35" s="4">
        <f t="shared" si="25"/>
        <v>2</v>
      </c>
      <c r="P35" s="2">
        <f t="shared" si="3"/>
        <v>2.13255813953488</v>
      </c>
      <c r="Q35" s="1">
        <f t="shared" si="18"/>
        <v>1.13255813953488</v>
      </c>
      <c r="R35" s="2">
        <f t="shared" si="4"/>
        <v>0.34294871794871795</v>
      </c>
      <c r="S35" s="2">
        <f t="shared" si="5"/>
        <v>19.713523624800125</v>
      </c>
      <c r="T35" s="2">
        <f t="shared" si="6"/>
        <v>0.10409593180308738</v>
      </c>
      <c r="U35" s="2">
        <f t="shared" si="26"/>
        <v>189.37842510590258</v>
      </c>
      <c r="V35" s="5">
        <f t="shared" si="8"/>
        <v>1.2900423680149663E-3</v>
      </c>
      <c r="W35" s="5">
        <f t="shared" si="9"/>
        <v>328.067335707349</v>
      </c>
      <c r="X35" s="2">
        <f t="shared" si="10"/>
        <v>310.067335707349</v>
      </c>
      <c r="Y35" s="2">
        <f t="shared" si="11"/>
        <v>511039.26302280172</v>
      </c>
      <c r="Z35" s="2">
        <f t="shared" si="27"/>
        <v>1.0580519065606735</v>
      </c>
      <c r="AA35" s="12">
        <f t="shared" si="13"/>
        <v>5.4866785079928891E-2</v>
      </c>
      <c r="AB35" s="2">
        <f t="shared" si="28"/>
        <v>1557.7267450931843</v>
      </c>
      <c r="AC35" s="2">
        <f t="shared" si="29"/>
        <v>1648.1557525463957</v>
      </c>
      <c r="AD35" s="2">
        <f t="shared" si="16"/>
        <v>1.1617358566858393</v>
      </c>
      <c r="AE35" s="2">
        <f t="shared" si="17"/>
        <v>3.3156867522212279</v>
      </c>
      <c r="AF35" s="2">
        <f t="shared" si="19"/>
        <v>0.7409437040414778</v>
      </c>
      <c r="AG35" s="2">
        <f t="shared" si="20"/>
        <v>9.0960536213244833E-2</v>
      </c>
    </row>
    <row r="36" spans="1:33" x14ac:dyDescent="0.3">
      <c r="A36" s="2" t="s">
        <v>53</v>
      </c>
      <c r="B36" s="1" t="s">
        <v>33</v>
      </c>
      <c r="C36" s="31">
        <v>0.5</v>
      </c>
      <c r="D36" s="1">
        <v>2.05503875968992</v>
      </c>
      <c r="E36" s="1">
        <v>0.65</v>
      </c>
      <c r="F36" s="1">
        <v>6.2859680284191796E-2</v>
      </c>
      <c r="H36" s="1">
        <v>9.81</v>
      </c>
      <c r="I36" s="2">
        <v>1315</v>
      </c>
      <c r="J36" s="3">
        <f t="shared" si="0"/>
        <v>2.2197577303974727E-2</v>
      </c>
      <c r="K36" s="2">
        <f t="shared" si="1"/>
        <v>1.1098788651987363E-2</v>
      </c>
      <c r="L36" s="2">
        <v>0.4</v>
      </c>
      <c r="M36" s="7">
        <v>1</v>
      </c>
      <c r="N36" s="2">
        <v>18</v>
      </c>
      <c r="O36" s="4">
        <f t="shared" si="25"/>
        <v>2</v>
      </c>
      <c r="P36" s="2">
        <f t="shared" si="3"/>
        <v>2.05503875968992</v>
      </c>
      <c r="Q36" s="1">
        <f t="shared" si="18"/>
        <v>1.05503875968992</v>
      </c>
      <c r="R36" s="2">
        <f t="shared" si="4"/>
        <v>0.35</v>
      </c>
      <c r="S36" s="2">
        <f t="shared" si="5"/>
        <v>14.891914926836822</v>
      </c>
      <c r="T36" s="2">
        <f t="shared" si="6"/>
        <v>9.9482388916044856E-2</v>
      </c>
      <c r="U36" s="2">
        <f t="shared" si="26"/>
        <v>149.69398191075209</v>
      </c>
      <c r="V36" s="5">
        <f t="shared" si="8"/>
        <v>1.4905791104119406E-3</v>
      </c>
      <c r="W36" s="5">
        <f t="shared" si="9"/>
        <v>286.35207685786963</v>
      </c>
      <c r="X36" s="2">
        <f t="shared" si="10"/>
        <v>268.35207685786963</v>
      </c>
      <c r="Y36" s="2">
        <f t="shared" si="11"/>
        <v>291626.40619741118</v>
      </c>
      <c r="Z36" s="2">
        <f t="shared" si="27"/>
        <v>1.0670760599685374</v>
      </c>
      <c r="AA36" s="12">
        <f t="shared" si="13"/>
        <v>6.2859680284191796E-2</v>
      </c>
      <c r="AB36" s="2">
        <f t="shared" si="28"/>
        <v>1018.4190364442841</v>
      </c>
      <c r="AC36" s="2">
        <f t="shared" si="29"/>
        <v>1086.7305728059209</v>
      </c>
      <c r="AD36" s="2">
        <f t="shared" si="16"/>
        <v>1.163710825631153</v>
      </c>
      <c r="AE36" s="2">
        <f t="shared" si="17"/>
        <v>3.1687351589513986</v>
      </c>
      <c r="AF36" s="2">
        <f t="shared" si="19"/>
        <v>0.73843088206978647</v>
      </c>
      <c r="AG36" s="2">
        <f t="shared" si="20"/>
        <v>9.9592839498481286E-2</v>
      </c>
    </row>
    <row r="39" spans="1:33" x14ac:dyDescent="0.3">
      <c r="I39" s="16"/>
    </row>
    <row r="40" spans="1:33" x14ac:dyDescent="0.3">
      <c r="I40" s="16"/>
    </row>
    <row r="41" spans="1:33" x14ac:dyDescent="0.3">
      <c r="I41" s="16"/>
    </row>
    <row r="42" spans="1:33" x14ac:dyDescent="0.3">
      <c r="I42" s="16"/>
    </row>
    <row r="43" spans="1:33" x14ac:dyDescent="0.3">
      <c r="I43" s="16"/>
    </row>
    <row r="44" spans="1:33" x14ac:dyDescent="0.3">
      <c r="I44" s="16"/>
    </row>
    <row r="45" spans="1:33" x14ac:dyDescent="0.3">
      <c r="I45" s="16"/>
    </row>
    <row r="46" spans="1:33" x14ac:dyDescent="0.3">
      <c r="I46" s="16"/>
    </row>
    <row r="47" spans="1:33" x14ac:dyDescent="0.3">
      <c r="I47" s="16"/>
    </row>
    <row r="48" spans="1:33" x14ac:dyDescent="0.3">
      <c r="I48" s="16"/>
    </row>
    <row r="49" spans="9:9" x14ac:dyDescent="0.3">
      <c r="I49" s="16"/>
    </row>
    <row r="50" spans="9:9" x14ac:dyDescent="0.3">
      <c r="I50" s="16"/>
    </row>
    <row r="51" spans="9:9" x14ac:dyDescent="0.3">
      <c r="I51" s="16"/>
    </row>
    <row r="52" spans="9:9" x14ac:dyDescent="0.3">
      <c r="I52" s="16"/>
    </row>
    <row r="53" spans="9:9" x14ac:dyDescent="0.3">
      <c r="I53" s="16"/>
    </row>
    <row r="54" spans="9:9" x14ac:dyDescent="0.3">
      <c r="I54" s="16"/>
    </row>
    <row r="55" spans="9:9" x14ac:dyDescent="0.3">
      <c r="I55" s="16"/>
    </row>
    <row r="56" spans="9:9" x14ac:dyDescent="0.3">
      <c r="I56" s="16"/>
    </row>
    <row r="57" spans="9:9" x14ac:dyDescent="0.3">
      <c r="I57" s="16"/>
    </row>
    <row r="58" spans="9:9" x14ac:dyDescent="0.3">
      <c r="I58" s="16"/>
    </row>
    <row r="59" spans="9:9" x14ac:dyDescent="0.3">
      <c r="I59" s="16"/>
    </row>
    <row r="60" spans="9:9" x14ac:dyDescent="0.3">
      <c r="I60" s="16"/>
    </row>
    <row r="61" spans="9:9" x14ac:dyDescent="0.3">
      <c r="I61" s="16"/>
    </row>
    <row r="62" spans="9:9" x14ac:dyDescent="0.3">
      <c r="I62" s="16"/>
    </row>
    <row r="63" spans="9:9" x14ac:dyDescent="0.3">
      <c r="I63" s="16"/>
    </row>
    <row r="64" spans="9:9" x14ac:dyDescent="0.3">
      <c r="I64" s="16"/>
    </row>
    <row r="65" spans="9:9" x14ac:dyDescent="0.3">
      <c r="I65" s="16"/>
    </row>
    <row r="66" spans="9:9" x14ac:dyDescent="0.3">
      <c r="I66" s="16"/>
    </row>
    <row r="67" spans="9:9" x14ac:dyDescent="0.3">
      <c r="I67" s="16"/>
    </row>
    <row r="68" spans="9:9" x14ac:dyDescent="0.3">
      <c r="I68" s="16"/>
    </row>
    <row r="69" spans="9:9" x14ac:dyDescent="0.3">
      <c r="I69" s="16"/>
    </row>
    <row r="70" spans="9:9" x14ac:dyDescent="0.3">
      <c r="I70" s="16"/>
    </row>
    <row r="71" spans="9:9" x14ac:dyDescent="0.3">
      <c r="I71" s="16"/>
    </row>
    <row r="72" spans="9:9" x14ac:dyDescent="0.3">
      <c r="I72" s="16"/>
    </row>
    <row r="73" spans="9:9" x14ac:dyDescent="0.3">
      <c r="I73" s="16"/>
    </row>
    <row r="74" spans="9:9" x14ac:dyDescent="0.3">
      <c r="I74" s="16"/>
    </row>
    <row r="75" spans="9:9" x14ac:dyDescent="0.3">
      <c r="I75" s="16"/>
    </row>
    <row r="76" spans="9:9" x14ac:dyDescent="0.3">
      <c r="I76" s="16"/>
    </row>
  </sheetData>
  <mergeCells count="2">
    <mergeCell ref="A1:F1"/>
    <mergeCell ref="H1:AG1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K64"/>
  <sheetViews>
    <sheetView topLeftCell="I10" zoomScaleNormal="100" workbookViewId="0">
      <selection activeCell="F2" sqref="F2"/>
    </sheetView>
  </sheetViews>
  <sheetFormatPr baseColWidth="10" defaultColWidth="8.88671875" defaultRowHeight="14.4" x14ac:dyDescent="0.3"/>
  <cols>
    <col min="1" max="1" width="10.5546875" style="16" customWidth="1"/>
    <col min="2" max="2" width="12.44140625" style="16" customWidth="1"/>
    <col min="3" max="3" width="19" customWidth="1"/>
    <col min="4" max="4" width="21.5546875" customWidth="1"/>
    <col min="5" max="5" width="21.5546875" bestFit="1" customWidth="1"/>
    <col min="6" max="6" width="21.5546875" style="16" customWidth="1"/>
    <col min="7" max="7" width="16.5546875" style="16" bestFit="1" customWidth="1"/>
    <col min="8" max="8" width="18" style="16" customWidth="1"/>
    <col min="9" max="10" width="12.6640625" style="16" customWidth="1"/>
    <col min="12" max="12" width="9.44140625" customWidth="1"/>
    <col min="13" max="13" width="10.5546875" customWidth="1"/>
    <col min="21" max="22" width="9.109375" style="16"/>
    <col min="24" max="25" width="12" bestFit="1" customWidth="1"/>
    <col min="27" max="27" width="12" bestFit="1" customWidth="1"/>
    <col min="28" max="28" width="12.6640625" bestFit="1" customWidth="1"/>
    <col min="29" max="29" width="12" bestFit="1" customWidth="1"/>
    <col min="34" max="34" width="17" bestFit="1" customWidth="1"/>
    <col min="35" max="35" width="16.6640625" bestFit="1" customWidth="1"/>
    <col min="36" max="36" width="23.88671875" bestFit="1" customWidth="1"/>
    <col min="37" max="37" width="16.6640625" bestFit="1" customWidth="1"/>
  </cols>
  <sheetData>
    <row r="1" spans="1:37" ht="15" thickBot="1" x14ac:dyDescent="0.35">
      <c r="A1" s="36" t="s">
        <v>26</v>
      </c>
      <c r="B1" s="37"/>
      <c r="C1" s="37"/>
      <c r="D1" s="37"/>
      <c r="E1" s="37"/>
      <c r="F1" s="37"/>
      <c r="G1" s="37"/>
      <c r="H1" s="37"/>
      <c r="I1" s="37"/>
      <c r="J1" s="38"/>
      <c r="K1" s="16"/>
      <c r="L1" s="33" t="s">
        <v>23</v>
      </c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5"/>
    </row>
    <row r="2" spans="1:37" ht="30" thickBot="1" x14ac:dyDescent="0.35">
      <c r="A2" s="22" t="s">
        <v>37</v>
      </c>
      <c r="B2" s="13" t="s">
        <v>35</v>
      </c>
      <c r="C2" s="17" t="s">
        <v>18</v>
      </c>
      <c r="D2" s="17" t="s">
        <v>25</v>
      </c>
      <c r="E2" s="17" t="s">
        <v>45</v>
      </c>
      <c r="F2" s="17" t="s">
        <v>46</v>
      </c>
      <c r="G2" s="17" t="s">
        <v>24</v>
      </c>
      <c r="H2" s="13" t="s">
        <v>44</v>
      </c>
      <c r="I2" s="13" t="s">
        <v>40</v>
      </c>
      <c r="J2" s="17" t="s">
        <v>1</v>
      </c>
      <c r="K2" s="16"/>
      <c r="L2" s="6" t="s">
        <v>6</v>
      </c>
      <c r="M2" s="6" t="s">
        <v>8</v>
      </c>
      <c r="N2" s="6" t="s">
        <v>9</v>
      </c>
      <c r="O2" s="6" t="s">
        <v>14</v>
      </c>
      <c r="P2" s="6" t="s">
        <v>7</v>
      </c>
      <c r="Q2" s="6" t="s">
        <v>19</v>
      </c>
      <c r="R2" s="6" t="s">
        <v>4</v>
      </c>
      <c r="S2" s="20" t="s">
        <v>2</v>
      </c>
      <c r="T2" s="6" t="s">
        <v>38</v>
      </c>
      <c r="U2" s="6" t="s">
        <v>39</v>
      </c>
      <c r="V2" s="6" t="s">
        <v>40</v>
      </c>
      <c r="W2" s="6" t="s">
        <v>10</v>
      </c>
      <c r="X2" s="6" t="s">
        <v>15</v>
      </c>
      <c r="Y2" s="6" t="s">
        <v>16</v>
      </c>
      <c r="Z2" s="15" t="s">
        <v>17</v>
      </c>
      <c r="AA2" s="21" t="s">
        <v>3</v>
      </c>
      <c r="AB2" s="6" t="s">
        <v>21</v>
      </c>
      <c r="AC2" s="6" t="s">
        <v>13</v>
      </c>
      <c r="AD2" s="6" t="s">
        <v>0</v>
      </c>
      <c r="AE2" s="6" t="s">
        <v>1</v>
      </c>
      <c r="AF2" s="6" t="s">
        <v>12</v>
      </c>
      <c r="AG2" s="6" t="s">
        <v>11</v>
      </c>
      <c r="AH2" s="6" t="s">
        <v>20</v>
      </c>
      <c r="AI2" s="6" t="s">
        <v>5</v>
      </c>
      <c r="AJ2" s="6" t="s">
        <v>27</v>
      </c>
      <c r="AK2" s="6" t="s">
        <v>28</v>
      </c>
    </row>
    <row r="3" spans="1:37" x14ac:dyDescent="0.3">
      <c r="A3" s="2" t="s">
        <v>47</v>
      </c>
      <c r="B3" s="2" t="s">
        <v>33</v>
      </c>
      <c r="C3" s="2">
        <v>1.25</v>
      </c>
      <c r="D3" s="2">
        <f>C3^(2/3)</f>
        <v>1.1603972084031948</v>
      </c>
      <c r="E3" s="2">
        <v>1.2261904761904701</v>
      </c>
      <c r="F3" s="2">
        <v>0.74622531939604997</v>
      </c>
      <c r="G3" s="2">
        <v>0.20119687660010199</v>
      </c>
      <c r="H3" s="2">
        <f t="shared" ref="H3:H44" si="0">E3*D3</f>
        <v>1.4228680055420055</v>
      </c>
      <c r="I3" s="2">
        <f>F3*D3</f>
        <v>0.86591777746695886</v>
      </c>
      <c r="J3" s="2">
        <f t="shared" ref="J3:J44" si="1">G3*D3</f>
        <v>0.23346829394620042</v>
      </c>
      <c r="K3" s="16"/>
      <c r="L3" s="2">
        <v>9.81</v>
      </c>
      <c r="M3" s="2">
        <v>1000</v>
      </c>
      <c r="N3" s="3">
        <f t="shared" ref="N3:N44" si="2">R3/(L3*M3*J3)</f>
        <v>1.7028158731959665E-2</v>
      </c>
      <c r="O3" s="2">
        <f t="shared" ref="O3:O44" si="3">N3*C3</f>
        <v>2.128519841494958E-2</v>
      </c>
      <c r="P3" s="2">
        <v>32</v>
      </c>
      <c r="Q3" s="8">
        <v>1</v>
      </c>
      <c r="R3" s="2">
        <v>39</v>
      </c>
      <c r="S3" s="4">
        <f>N3/O3/2</f>
        <v>0.4</v>
      </c>
      <c r="T3" s="2">
        <f t="shared" ref="T3:T44" si="4">H3*N3/O3</f>
        <v>1.1382944044336045</v>
      </c>
      <c r="U3" s="2">
        <f>T3-1</f>
        <v>0.13829440443360452</v>
      </c>
      <c r="V3" s="2">
        <f>I3</f>
        <v>0.86591777746695886</v>
      </c>
      <c r="W3" s="2">
        <f>(((AA3-R3)*(N3^Q3))/(P3))^(1/Q3)</f>
        <v>6.8137239106236244E-2</v>
      </c>
      <c r="X3" s="2">
        <f>(((R3^(((2*Q3)+3)/3))*(N3^Q3)*(1/P3))/((AA3*S3)^(2*Q3/3)))^(1/Q3)</f>
        <v>1.44942004849287E-2</v>
      </c>
      <c r="Y3" s="2">
        <f t="shared" ref="Y3:Y36" si="5">W3/X3</f>
        <v>4.7010001812163722</v>
      </c>
      <c r="Z3" s="5">
        <f t="shared" ref="Z3:Z26" si="6">(P3+(R3*N3/W3))/AA3</f>
        <v>0.24990972565545536</v>
      </c>
      <c r="AA3" s="5">
        <f t="shared" ref="AA3:AA26" si="7">L3*M3*N3</f>
        <v>167.0462371605243</v>
      </c>
      <c r="AB3" s="2">
        <f>P3*((W3/N3)^(Q3))</f>
        <v>128.0462371605243</v>
      </c>
      <c r="AC3" s="2">
        <f t="shared" ref="AC3:AC26" si="8">M3*W3*W3</f>
        <v>4.6426833530204101</v>
      </c>
      <c r="AD3" s="2">
        <f t="shared" ref="AD3:AD36" si="9">AA3/AB3</f>
        <v>1.3045774781425863</v>
      </c>
      <c r="AE3" s="12">
        <f t="shared" ref="AE3:AE36" si="10">R3/AA3</f>
        <v>0.23346829394620044</v>
      </c>
      <c r="AF3" s="2">
        <f t="shared" ref="AF3:AF36" si="11">AC3/AA3</f>
        <v>2.779280414774617E-2</v>
      </c>
      <c r="AG3" s="2">
        <f t="shared" ref="AG3:AG36" si="12">AC3/AB3</f>
        <v>3.6257866345577511E-2</v>
      </c>
      <c r="AH3" s="2">
        <f>(AD3*S3)^((1)/((2*Q3)+3))</f>
        <v>0.87802316399516811</v>
      </c>
      <c r="AI3" s="2">
        <f t="shared" ref="AI3:AI36" si="13">((1/AE3)*S3)^(1/3)</f>
        <v>1.1965863027557702</v>
      </c>
      <c r="AJ3" s="2">
        <f>((1/AD3)*(1/S3))^((2)/((2*Q3)+3))</f>
        <v>1.2971435867435526</v>
      </c>
      <c r="AK3" s="2">
        <f>((AE3)*(1/S3))^(2/3)</f>
        <v>0.69841240665945348</v>
      </c>
    </row>
    <row r="4" spans="1:37" x14ac:dyDescent="0.3">
      <c r="A4" s="2" t="s">
        <v>47</v>
      </c>
      <c r="B4" s="1" t="s">
        <v>33</v>
      </c>
      <c r="C4" s="2">
        <v>1.25</v>
      </c>
      <c r="D4" s="1">
        <f t="shared" ref="D4:D44" si="14">C4^(2/3)</f>
        <v>1.1603972084031948</v>
      </c>
      <c r="E4" s="1">
        <v>1.41190476190476</v>
      </c>
      <c r="F4" s="1">
        <v>0.60685249709639899</v>
      </c>
      <c r="G4" s="1">
        <v>0.11258704557091601</v>
      </c>
      <c r="H4" s="1">
        <f t="shared" si="0"/>
        <v>1.6383703442454609</v>
      </c>
      <c r="I4" s="2">
        <f t="shared" ref="I4:I44" si="15">F4*D4</f>
        <v>0.70418994354316933</v>
      </c>
      <c r="J4" s="1">
        <f t="shared" si="1"/>
        <v>0.1306456933828542</v>
      </c>
      <c r="K4" s="16"/>
      <c r="L4" s="1">
        <v>9.81</v>
      </c>
      <c r="M4" s="2">
        <v>1000</v>
      </c>
      <c r="N4" s="3">
        <f t="shared" si="2"/>
        <v>3.0429898339974393E-2</v>
      </c>
      <c r="O4" s="2">
        <f t="shared" si="3"/>
        <v>3.8037372924967991E-2</v>
      </c>
      <c r="P4" s="2">
        <v>32</v>
      </c>
      <c r="Q4" s="8">
        <v>1</v>
      </c>
      <c r="R4" s="2">
        <v>39</v>
      </c>
      <c r="S4" s="4">
        <f t="shared" ref="S4:S44" si="16">N4/O4/2</f>
        <v>0.4</v>
      </c>
      <c r="T4" s="2">
        <f t="shared" si="4"/>
        <v>1.3106962753963687</v>
      </c>
      <c r="U4" s="1">
        <f t="shared" ref="U4:U44" si="17">T4-1</f>
        <v>0.31069627539636868</v>
      </c>
      <c r="V4" s="2">
        <f t="shared" ref="V4:V44" si="18">I4</f>
        <v>0.70418994354316933</v>
      </c>
      <c r="W4" s="2">
        <f t="shared" ref="W4:W36" si="19">(((AA4-R4)*(N4^Q4))/(P4))^(1/Q4)</f>
        <v>0.24678391059644805</v>
      </c>
      <c r="X4" s="2">
        <f t="shared" ref="X4:X36" si="20">(((R4^(((2*Q4)+3)/3))*(N4^Q4)*(1/P4))/((AA4*S4)^(2*Q4/3)))^(1/Q4)</f>
        <v>1.7588894126338479E-2</v>
      </c>
      <c r="Y4" s="2">
        <f t="shared" si="5"/>
        <v>14.030666670902388</v>
      </c>
      <c r="Z4" s="5">
        <f t="shared" si="6"/>
        <v>0.12330584383085939</v>
      </c>
      <c r="AA4" s="5">
        <f t="shared" si="7"/>
        <v>298.51730271514879</v>
      </c>
      <c r="AB4" s="2">
        <f t="shared" ref="AB4:AB36" si="21">P4*((W4/N4)^(Q4))</f>
        <v>259.51730271514879</v>
      </c>
      <c r="AC4" s="2">
        <f t="shared" si="8"/>
        <v>60.902298529275669</v>
      </c>
      <c r="AD4" s="2">
        <f t="shared" si="9"/>
        <v>1.1502789971688598</v>
      </c>
      <c r="AE4" s="12">
        <f t="shared" si="10"/>
        <v>0.1306456933828542</v>
      </c>
      <c r="AF4" s="2">
        <f t="shared" si="11"/>
        <v>0.20401597487094364</v>
      </c>
      <c r="AG4" s="2">
        <f t="shared" si="12"/>
        <v>0.23467529098097636</v>
      </c>
      <c r="AH4" s="2">
        <f t="shared" ref="AH4:AH36" si="22">(AD4*S4)^((1)/((2*Q4)+3))</f>
        <v>0.85619489940355009</v>
      </c>
      <c r="AI4" s="2">
        <f t="shared" si="13"/>
        <v>1.4520724902406761</v>
      </c>
      <c r="AJ4" s="2">
        <f>((1/AD4)*(1/S4))^((2)/((2*Q4)+3))</f>
        <v>1.3641267564820638</v>
      </c>
      <c r="AK4" s="2">
        <f>((AE4)*(1/S4))^(2/3)</f>
        <v>0.47426754332415227</v>
      </c>
    </row>
    <row r="5" spans="1:37" x14ac:dyDescent="0.3">
      <c r="A5" s="2" t="s">
        <v>47</v>
      </c>
      <c r="B5" s="1" t="s">
        <v>33</v>
      </c>
      <c r="C5" s="2">
        <v>1.25</v>
      </c>
      <c r="D5" s="1">
        <f t="shared" si="14"/>
        <v>1.1603972084031948</v>
      </c>
      <c r="E5" s="1">
        <v>1.23571428571428</v>
      </c>
      <c r="F5" s="1">
        <v>0.73622531939604996</v>
      </c>
      <c r="G5" s="1">
        <v>0.19797619047619</v>
      </c>
      <c r="H5" s="1">
        <f t="shared" si="0"/>
        <v>1.4339194075267985</v>
      </c>
      <c r="I5" s="2">
        <f t="shared" si="15"/>
        <v>0.85431380538292689</v>
      </c>
      <c r="J5" s="1">
        <f t="shared" si="1"/>
        <v>0.22973101875887003</v>
      </c>
      <c r="K5" s="16"/>
      <c r="L5" s="2">
        <v>9.81</v>
      </c>
      <c r="M5" s="2">
        <v>1000</v>
      </c>
      <c r="N5" s="3">
        <f t="shared" si="2"/>
        <v>1.7305173631639682E-2</v>
      </c>
      <c r="O5" s="2">
        <f t="shared" si="3"/>
        <v>2.1631467039549601E-2</v>
      </c>
      <c r="P5" s="2">
        <v>32</v>
      </c>
      <c r="Q5" s="8">
        <v>1</v>
      </c>
      <c r="R5" s="2">
        <v>39</v>
      </c>
      <c r="S5" s="4">
        <f t="shared" si="16"/>
        <v>0.4</v>
      </c>
      <c r="T5" s="2">
        <f t="shared" si="4"/>
        <v>1.1471355260214389</v>
      </c>
      <c r="U5" s="1">
        <f t="shared" si="17"/>
        <v>0.14713552602143887</v>
      </c>
      <c r="V5" s="2">
        <f t="shared" si="18"/>
        <v>0.85431380538292689</v>
      </c>
      <c r="W5" s="2">
        <f t="shared" si="19"/>
        <v>7.071529550118745E-2</v>
      </c>
      <c r="X5" s="2">
        <f t="shared" si="20"/>
        <v>1.4572375535245723E-2</v>
      </c>
      <c r="Y5" s="2">
        <f t="shared" si="5"/>
        <v>4.8526951100148841</v>
      </c>
      <c r="Z5" s="5">
        <f t="shared" si="6"/>
        <v>0.24471613261305108</v>
      </c>
      <c r="AA5" s="5">
        <f t="shared" si="7"/>
        <v>169.76375332638528</v>
      </c>
      <c r="AB5" s="2">
        <f t="shared" si="21"/>
        <v>130.76375332638528</v>
      </c>
      <c r="AC5" s="2">
        <f t="shared" si="8"/>
        <v>5.0006530178202624</v>
      </c>
      <c r="AD5" s="2">
        <f t="shared" si="9"/>
        <v>1.298247786622156</v>
      </c>
      <c r="AE5" s="12">
        <f t="shared" si="10"/>
        <v>0.22973101875887</v>
      </c>
      <c r="AF5" s="2">
        <f t="shared" si="11"/>
        <v>2.9456541339576068E-2</v>
      </c>
      <c r="AG5" s="2">
        <f t="shared" si="12"/>
        <v>3.824188959564867E-2</v>
      </c>
      <c r="AH5" s="2">
        <f t="shared" si="22"/>
        <v>0.87716948785943516</v>
      </c>
      <c r="AI5" s="2">
        <f t="shared" si="13"/>
        <v>1.2030401388624155</v>
      </c>
      <c r="AJ5" s="2">
        <f>((1/AD5)*(1/S5))^((2)/((2*Q5)+3))</f>
        <v>1.29966961935456</v>
      </c>
      <c r="AK5" s="2">
        <f>((AE5)*(1/S5))^(2/3)</f>
        <v>0.69093909177168789</v>
      </c>
    </row>
    <row r="6" spans="1:37" x14ac:dyDescent="0.3">
      <c r="A6" s="2" t="s">
        <v>47</v>
      </c>
      <c r="B6" s="1" t="s">
        <v>33</v>
      </c>
      <c r="C6" s="2">
        <v>0.5</v>
      </c>
      <c r="D6" s="1">
        <f t="shared" si="14"/>
        <v>0.6299605249474366</v>
      </c>
      <c r="E6" s="1">
        <v>1.69761904761904</v>
      </c>
      <c r="F6" s="1">
        <v>0.51974448315911603</v>
      </c>
      <c r="G6" s="1">
        <v>5.7095494111623103E-2</v>
      </c>
      <c r="H6" s="1">
        <f t="shared" si="0"/>
        <v>1.0694329863988579</v>
      </c>
      <c r="I6" s="2">
        <f t="shared" si="15"/>
        <v>0.32741850744945084</v>
      </c>
      <c r="J6" s="1">
        <f t="shared" si="1"/>
        <v>3.5967907442691363E-2</v>
      </c>
      <c r="K6" s="16"/>
      <c r="L6" s="1">
        <v>9.81</v>
      </c>
      <c r="M6" s="2">
        <v>1000</v>
      </c>
      <c r="N6" s="3">
        <f t="shared" si="2"/>
        <v>0.11053006557387432</v>
      </c>
      <c r="O6" s="2">
        <f t="shared" si="3"/>
        <v>5.526503278693716E-2</v>
      </c>
      <c r="P6" s="2">
        <v>32</v>
      </c>
      <c r="Q6" s="8">
        <v>1</v>
      </c>
      <c r="R6" s="2">
        <v>39</v>
      </c>
      <c r="S6" s="4">
        <f t="shared" si="16"/>
        <v>1</v>
      </c>
      <c r="T6" s="2">
        <f t="shared" si="4"/>
        <v>2.1388659727977157</v>
      </c>
      <c r="U6" s="1">
        <f t="shared" si="17"/>
        <v>1.1388659727977157</v>
      </c>
      <c r="V6" s="2">
        <f t="shared" si="18"/>
        <v>0.32741850744945084</v>
      </c>
      <c r="W6" s="2">
        <f t="shared" si="19"/>
        <v>3.6105334773460354</v>
      </c>
      <c r="X6" s="2">
        <f t="shared" si="20"/>
        <v>1.4678167444233694E-2</v>
      </c>
      <c r="Y6" s="2">
        <f t="shared" si="5"/>
        <v>245.97985348398723</v>
      </c>
      <c r="Z6" s="5">
        <f t="shared" si="6"/>
        <v>3.061322274599728E-2</v>
      </c>
      <c r="AA6" s="5">
        <f t="shared" si="7"/>
        <v>1084.2999432797071</v>
      </c>
      <c r="AB6" s="2">
        <f t="shared" si="21"/>
        <v>1045.2999432797071</v>
      </c>
      <c r="AC6" s="2">
        <f t="shared" si="8"/>
        <v>13035.951991036454</v>
      </c>
      <c r="AD6" s="2">
        <f t="shared" si="9"/>
        <v>1.0373098652216841</v>
      </c>
      <c r="AE6" s="12">
        <f t="shared" si="10"/>
        <v>3.5967907442691363E-2</v>
      </c>
      <c r="AF6" s="2">
        <f t="shared" si="11"/>
        <v>12.022459349768393</v>
      </c>
      <c r="AG6" s="2">
        <f t="shared" si="12"/>
        <v>12.47101568774143</v>
      </c>
      <c r="AH6" s="2">
        <f t="shared" si="22"/>
        <v>1.0073530405882707</v>
      </c>
      <c r="AI6" s="2">
        <f t="shared" si="13"/>
        <v>3.029434795590952</v>
      </c>
      <c r="AJ6" s="2">
        <f t="shared" ref="AJ6:AJ44" si="23">((1/AD6)*(1/S6))^((2)/((2*Q6)+3))</f>
        <v>0.9854545446961408</v>
      </c>
      <c r="AK6" s="2">
        <f t="shared" ref="AK6:AK44" si="24">((AE6)*(1/S6))^(2/3)</f>
        <v>0.10896243033148399</v>
      </c>
    </row>
    <row r="7" spans="1:37" x14ac:dyDescent="0.3">
      <c r="A7" s="2" t="s">
        <v>47</v>
      </c>
      <c r="B7" s="1" t="s">
        <v>33</v>
      </c>
      <c r="C7" s="2">
        <v>0.5</v>
      </c>
      <c r="D7" s="1">
        <f t="shared" si="14"/>
        <v>0.6299605249474366</v>
      </c>
      <c r="E7" s="1">
        <v>1.66904761904761</v>
      </c>
      <c r="F7" s="1">
        <v>0.54213999999999996</v>
      </c>
      <c r="G7" s="1">
        <v>6.1918842805939497E-2</v>
      </c>
      <c r="H7" s="1">
        <f t="shared" si="0"/>
        <v>1.0514341142575017</v>
      </c>
      <c r="I7" s="2">
        <f t="shared" si="15"/>
        <v>0.34152679899500327</v>
      </c>
      <c r="J7" s="1">
        <f t="shared" si="1"/>
        <v>3.9006426718167453E-2</v>
      </c>
      <c r="K7" s="16"/>
      <c r="L7" s="2">
        <v>9.81</v>
      </c>
      <c r="M7" s="2">
        <v>1000</v>
      </c>
      <c r="N7" s="3">
        <f t="shared" si="2"/>
        <v>0.10192000402703107</v>
      </c>
      <c r="O7" s="2">
        <f t="shared" si="3"/>
        <v>5.0960002013515533E-2</v>
      </c>
      <c r="P7" s="2">
        <v>32</v>
      </c>
      <c r="Q7" s="8">
        <v>1</v>
      </c>
      <c r="R7" s="2">
        <v>39</v>
      </c>
      <c r="S7" s="4">
        <f t="shared" si="16"/>
        <v>1</v>
      </c>
      <c r="T7" s="2">
        <f t="shared" si="4"/>
        <v>2.1028682285150033</v>
      </c>
      <c r="U7" s="1">
        <f t="shared" si="17"/>
        <v>1.1028682285150033</v>
      </c>
      <c r="V7" s="2">
        <f t="shared" si="18"/>
        <v>0.34152679899500327</v>
      </c>
      <c r="W7" s="2">
        <f t="shared" si="19"/>
        <v>3.0602603587400239</v>
      </c>
      <c r="X7" s="2">
        <f t="shared" si="20"/>
        <v>1.4286686202735129E-2</v>
      </c>
      <c r="Y7" s="2">
        <f t="shared" si="5"/>
        <v>214.20365193953441</v>
      </c>
      <c r="Z7" s="5">
        <f t="shared" si="6"/>
        <v>3.3304357172078573E-2</v>
      </c>
      <c r="AA7" s="5">
        <f t="shared" si="7"/>
        <v>999.83523950517474</v>
      </c>
      <c r="AB7" s="2">
        <f t="shared" si="21"/>
        <v>960.83523950517474</v>
      </c>
      <c r="AC7" s="2">
        <f t="shared" si="8"/>
        <v>9365.1934632756202</v>
      </c>
      <c r="AD7" s="2">
        <f t="shared" si="9"/>
        <v>1.0405896853034708</v>
      </c>
      <c r="AE7" s="12">
        <f t="shared" si="10"/>
        <v>3.9006426718167453E-2</v>
      </c>
      <c r="AF7" s="2">
        <f t="shared" si="11"/>
        <v>9.3667367314543917</v>
      </c>
      <c r="AG7" s="2">
        <f t="shared" si="12"/>
        <v>9.7469296277045867</v>
      </c>
      <c r="AH7" s="2">
        <f t="shared" si="22"/>
        <v>1.0079892566562112</v>
      </c>
      <c r="AI7" s="2">
        <f t="shared" si="13"/>
        <v>2.9486367736769288</v>
      </c>
      <c r="AJ7" s="2">
        <f t="shared" si="23"/>
        <v>0.98421095176986861</v>
      </c>
      <c r="AK7" s="2">
        <f t="shared" si="24"/>
        <v>0.11501578423092287</v>
      </c>
    </row>
    <row r="8" spans="1:37" x14ac:dyDescent="0.3">
      <c r="A8" s="2" t="s">
        <v>47</v>
      </c>
      <c r="B8" s="1" t="s">
        <v>33</v>
      </c>
      <c r="C8" s="2">
        <v>0.5</v>
      </c>
      <c r="D8" s="1">
        <f t="shared" si="14"/>
        <v>0.6299605249474366</v>
      </c>
      <c r="E8" s="1">
        <v>1.53095238095238</v>
      </c>
      <c r="F8" s="1">
        <v>0.50813008130081305</v>
      </c>
      <c r="G8" s="1">
        <v>7.0715565796210897E-2</v>
      </c>
      <c r="H8" s="1">
        <f t="shared" si="0"/>
        <v>0.96443956557428923</v>
      </c>
      <c r="I8" s="2">
        <f t="shared" si="15"/>
        <v>0.32010189275784384</v>
      </c>
      <c r="J8" s="1">
        <f t="shared" si="1"/>
        <v>4.4548014950936007E-2</v>
      </c>
      <c r="K8" s="16"/>
      <c r="L8" s="1">
        <v>9.81</v>
      </c>
      <c r="M8" s="2">
        <v>1000</v>
      </c>
      <c r="N8" s="3">
        <f t="shared" si="2"/>
        <v>8.9241578386248341E-2</v>
      </c>
      <c r="O8" s="2">
        <f t="shared" si="3"/>
        <v>4.462078919312417E-2</v>
      </c>
      <c r="P8" s="2">
        <v>32</v>
      </c>
      <c r="Q8" s="8">
        <v>1</v>
      </c>
      <c r="R8" s="2">
        <v>39</v>
      </c>
      <c r="S8" s="4">
        <f t="shared" si="16"/>
        <v>1</v>
      </c>
      <c r="T8" s="2">
        <f t="shared" si="4"/>
        <v>1.9288791311485787</v>
      </c>
      <c r="U8" s="1">
        <f t="shared" si="17"/>
        <v>0.92887913114857867</v>
      </c>
      <c r="V8" s="2">
        <f t="shared" si="18"/>
        <v>0.32010189275784384</v>
      </c>
      <c r="W8" s="2">
        <f t="shared" si="19"/>
        <v>2.3327187594431344</v>
      </c>
      <c r="X8" s="2">
        <f t="shared" si="20"/>
        <v>1.3667868007508474E-2</v>
      </c>
      <c r="Y8" s="2">
        <f t="shared" si="5"/>
        <v>170.67173594021028</v>
      </c>
      <c r="Z8" s="5">
        <f t="shared" si="6"/>
        <v>3.825646706230118E-2</v>
      </c>
      <c r="AA8" s="5">
        <f t="shared" si="7"/>
        <v>875.45988396909627</v>
      </c>
      <c r="AB8" s="2">
        <f t="shared" si="21"/>
        <v>836.45988396909638</v>
      </c>
      <c r="AC8" s="2">
        <f t="shared" si="8"/>
        <v>5441.5768106579162</v>
      </c>
      <c r="AD8" s="2">
        <f t="shared" si="9"/>
        <v>1.0466250692321795</v>
      </c>
      <c r="AE8" s="12">
        <f t="shared" si="10"/>
        <v>4.4548014950936007E-2</v>
      </c>
      <c r="AF8" s="2">
        <f t="shared" si="11"/>
        <v>6.2156780799450129</v>
      </c>
      <c r="AG8" s="2">
        <f t="shared" si="12"/>
        <v>6.5054845007473894</v>
      </c>
      <c r="AH8" s="2">
        <f t="shared" si="22"/>
        <v>1.0091558139055963</v>
      </c>
      <c r="AI8" s="2">
        <f t="shared" si="13"/>
        <v>2.8209185568159487</v>
      </c>
      <c r="AJ8" s="2">
        <f t="shared" si="23"/>
        <v>0.98193682363984391</v>
      </c>
      <c r="AK8" s="2">
        <f t="shared" si="24"/>
        <v>0.12566632204440975</v>
      </c>
    </row>
    <row r="9" spans="1:37" x14ac:dyDescent="0.3">
      <c r="A9" s="2" t="s">
        <v>47</v>
      </c>
      <c r="B9" s="1" t="s">
        <v>33</v>
      </c>
      <c r="C9" s="2">
        <v>0.5</v>
      </c>
      <c r="D9" s="1">
        <f t="shared" si="14"/>
        <v>0.6299605249474366</v>
      </c>
      <c r="E9" s="1">
        <v>1.4976190476190401</v>
      </c>
      <c r="F9" s="1">
        <v>0.56329849012775801</v>
      </c>
      <c r="G9" s="1">
        <v>7.3923451100870397E-2</v>
      </c>
      <c r="H9" s="1">
        <f t="shared" si="0"/>
        <v>0.94344088140937055</v>
      </c>
      <c r="I9" s="2">
        <f t="shared" si="15"/>
        <v>0.35485581254298088</v>
      </c>
      <c r="J9" s="1">
        <f t="shared" si="1"/>
        <v>4.6568856061430478E-2</v>
      </c>
      <c r="K9" s="16"/>
      <c r="L9" s="1">
        <v>9.81</v>
      </c>
      <c r="M9" s="2">
        <v>1000</v>
      </c>
      <c r="N9" s="3">
        <f t="shared" si="2"/>
        <v>8.5368967684141997E-2</v>
      </c>
      <c r="O9" s="2">
        <f t="shared" si="3"/>
        <v>4.2684483842070998E-2</v>
      </c>
      <c r="P9" s="2">
        <v>32</v>
      </c>
      <c r="Q9" s="8">
        <v>1</v>
      </c>
      <c r="R9" s="2">
        <v>39</v>
      </c>
      <c r="S9" s="4">
        <f t="shared" si="16"/>
        <v>1</v>
      </c>
      <c r="T9" s="2">
        <f t="shared" si="4"/>
        <v>1.8868817628187411</v>
      </c>
      <c r="U9" s="1">
        <f t="shared" si="17"/>
        <v>0.88688176281874109</v>
      </c>
      <c r="V9" s="2">
        <f t="shared" si="18"/>
        <v>0.35485581254298088</v>
      </c>
      <c r="W9" s="2">
        <f t="shared" si="19"/>
        <v>2.1301413491444565</v>
      </c>
      <c r="X9" s="2">
        <f t="shared" si="20"/>
        <v>1.3467232928971635E-2</v>
      </c>
      <c r="Y9" s="2">
        <f t="shared" si="5"/>
        <v>158.1721620454006</v>
      </c>
      <c r="Z9" s="5">
        <f t="shared" si="6"/>
        <v>4.0076668019438863E-2</v>
      </c>
      <c r="AA9" s="5">
        <f t="shared" si="7"/>
        <v>837.46957298143298</v>
      </c>
      <c r="AB9" s="2">
        <f t="shared" si="21"/>
        <v>798.46957298143298</v>
      </c>
      <c r="AC9" s="2">
        <f t="shared" si="8"/>
        <v>4537.5021673349647</v>
      </c>
      <c r="AD9" s="2">
        <f t="shared" si="9"/>
        <v>1.0488434391486912</v>
      </c>
      <c r="AE9" s="12">
        <f t="shared" si="10"/>
        <v>4.6568856061430478E-2</v>
      </c>
      <c r="AF9" s="2">
        <f t="shared" si="11"/>
        <v>5.4181098797192515</v>
      </c>
      <c r="AG9" s="2">
        <f t="shared" si="12"/>
        <v>5.682748999930241</v>
      </c>
      <c r="AH9" s="2">
        <f t="shared" si="22"/>
        <v>1.0095832420992732</v>
      </c>
      <c r="AI9" s="2">
        <f t="shared" si="13"/>
        <v>2.779509376109647</v>
      </c>
      <c r="AJ9" s="2">
        <f t="shared" si="23"/>
        <v>0.98110555263739063</v>
      </c>
      <c r="AK9" s="2">
        <f t="shared" si="24"/>
        <v>0.12943857205744658</v>
      </c>
    </row>
    <row r="10" spans="1:37" x14ac:dyDescent="0.3">
      <c r="A10" s="2" t="s">
        <v>47</v>
      </c>
      <c r="B10" s="1" t="s">
        <v>33</v>
      </c>
      <c r="C10" s="2">
        <v>0.5</v>
      </c>
      <c r="D10" s="1">
        <f t="shared" si="14"/>
        <v>0.6299605249474366</v>
      </c>
      <c r="E10" s="1">
        <v>1.34523809523809</v>
      </c>
      <c r="F10" s="1">
        <v>0.88723543459999998</v>
      </c>
      <c r="G10" s="1">
        <v>0.13916410650281599</v>
      </c>
      <c r="H10" s="1">
        <f t="shared" si="0"/>
        <v>0.8474468966554769</v>
      </c>
      <c r="I10" s="2">
        <f t="shared" si="15"/>
        <v>0.55892330013258307</v>
      </c>
      <c r="J10" s="1">
        <f t="shared" si="1"/>
        <v>8.7667893586354934E-2</v>
      </c>
      <c r="K10" s="16"/>
      <c r="L10" s="1">
        <v>9.81</v>
      </c>
      <c r="M10" s="2">
        <v>1000</v>
      </c>
      <c r="N10" s="3">
        <f t="shared" si="2"/>
        <v>4.5347675249887504E-2</v>
      </c>
      <c r="O10" s="2">
        <f t="shared" si="3"/>
        <v>2.2673837624943752E-2</v>
      </c>
      <c r="P10" s="2">
        <v>32</v>
      </c>
      <c r="Q10" s="8">
        <v>1</v>
      </c>
      <c r="R10" s="2">
        <v>39</v>
      </c>
      <c r="S10" s="4">
        <f t="shared" si="16"/>
        <v>1</v>
      </c>
      <c r="T10" s="2">
        <f t="shared" si="4"/>
        <v>1.6948937933109538</v>
      </c>
      <c r="U10" s="1">
        <f t="shared" si="17"/>
        <v>0.6948937933109538</v>
      </c>
      <c r="V10" s="2">
        <f t="shared" si="18"/>
        <v>0.55892330013258307</v>
      </c>
      <c r="W10" s="2">
        <f t="shared" si="19"/>
        <v>0.57515121741683828</v>
      </c>
      <c r="X10" s="2">
        <f t="shared" si="20"/>
        <v>1.0906783800301675E-2</v>
      </c>
      <c r="Y10" s="2">
        <f t="shared" si="5"/>
        <v>52.733347240359706</v>
      </c>
      <c r="Z10" s="5">
        <f t="shared" si="6"/>
        <v>7.8844787034540828E-2</v>
      </c>
      <c r="AA10" s="5">
        <f t="shared" si="7"/>
        <v>444.86069420139643</v>
      </c>
      <c r="AB10" s="2">
        <f t="shared" si="21"/>
        <v>405.86069420139643</v>
      </c>
      <c r="AC10" s="2">
        <f t="shared" si="8"/>
        <v>330.79892289607119</v>
      </c>
      <c r="AD10" s="2">
        <f t="shared" si="9"/>
        <v>1.0960920841983466</v>
      </c>
      <c r="AE10" s="12">
        <f t="shared" si="10"/>
        <v>8.766789358635492E-2</v>
      </c>
      <c r="AF10" s="2">
        <f t="shared" si="11"/>
        <v>0.74360114797265631</v>
      </c>
      <c r="AG10" s="2">
        <f t="shared" si="12"/>
        <v>0.81505533209363201</v>
      </c>
      <c r="AH10" s="2">
        <f t="shared" si="22"/>
        <v>1.0185196409437856</v>
      </c>
      <c r="AI10" s="2">
        <f t="shared" si="13"/>
        <v>2.2510569168906636</v>
      </c>
      <c r="AJ10" s="2">
        <f t="shared" si="23"/>
        <v>0.96396481753532559</v>
      </c>
      <c r="AK10" s="2">
        <f t="shared" si="24"/>
        <v>0.19734541824679885</v>
      </c>
    </row>
    <row r="11" spans="1:37" x14ac:dyDescent="0.3">
      <c r="A11" s="2" t="s">
        <v>47</v>
      </c>
      <c r="B11" s="1" t="s">
        <v>33</v>
      </c>
      <c r="C11" s="2">
        <v>0.5</v>
      </c>
      <c r="D11" s="1">
        <f t="shared" si="14"/>
        <v>0.6299605249474366</v>
      </c>
      <c r="E11" s="1">
        <v>1.32380952380952</v>
      </c>
      <c r="F11" s="1">
        <v>0.75783972125435495</v>
      </c>
      <c r="G11" s="1">
        <v>0.14076548899129501</v>
      </c>
      <c r="H11" s="1">
        <f t="shared" si="0"/>
        <v>0.83394774254946125</v>
      </c>
      <c r="I11" s="2">
        <f t="shared" si="15"/>
        <v>0.47740910862741248</v>
      </c>
      <c r="J11" s="1">
        <f t="shared" si="1"/>
        <v>8.8676701339438807E-2</v>
      </c>
      <c r="K11" s="16"/>
      <c r="L11" s="1">
        <v>9.81</v>
      </c>
      <c r="M11" s="2">
        <v>1000</v>
      </c>
      <c r="N11" s="3">
        <f t="shared" si="2"/>
        <v>4.4831789051084231E-2</v>
      </c>
      <c r="O11" s="2">
        <f t="shared" si="3"/>
        <v>2.2415894525542115E-2</v>
      </c>
      <c r="P11" s="2">
        <v>32</v>
      </c>
      <c r="Q11" s="8">
        <v>1</v>
      </c>
      <c r="R11" s="2">
        <v>39</v>
      </c>
      <c r="S11" s="4">
        <f t="shared" si="16"/>
        <v>1</v>
      </c>
      <c r="T11" s="2">
        <f t="shared" si="4"/>
        <v>1.6678954850989227</v>
      </c>
      <c r="U11" s="1">
        <f t="shared" si="17"/>
        <v>0.66789548509892271</v>
      </c>
      <c r="V11" s="2">
        <f t="shared" si="18"/>
        <v>0.47740910862741248</v>
      </c>
      <c r="W11" s="2">
        <f t="shared" si="19"/>
        <v>0.56151794854399684</v>
      </c>
      <c r="X11" s="2">
        <f t="shared" si="20"/>
        <v>1.086526655356369E-2</v>
      </c>
      <c r="Y11" s="2">
        <f t="shared" si="5"/>
        <v>51.680089556553497</v>
      </c>
      <c r="Z11" s="5">
        <f t="shared" si="6"/>
        <v>7.9840349123891818E-2</v>
      </c>
      <c r="AA11" s="5">
        <f t="shared" si="7"/>
        <v>439.79985059113631</v>
      </c>
      <c r="AB11" s="2">
        <f t="shared" si="21"/>
        <v>400.79985059113625</v>
      </c>
      <c r="AC11" s="2">
        <f t="shared" si="8"/>
        <v>315.30240653705863</v>
      </c>
      <c r="AD11" s="2">
        <f t="shared" si="9"/>
        <v>1.0973054254947434</v>
      </c>
      <c r="AE11" s="12">
        <f t="shared" si="10"/>
        <v>8.8676701339438793E-2</v>
      </c>
      <c r="AF11" s="2">
        <f t="shared" si="11"/>
        <v>0.71692249579725809</v>
      </c>
      <c r="AG11" s="2">
        <f t="shared" si="12"/>
        <v>0.78668294429756358</v>
      </c>
      <c r="AH11" s="2">
        <f t="shared" si="22"/>
        <v>1.0187450353462653</v>
      </c>
      <c r="AI11" s="2">
        <f t="shared" si="13"/>
        <v>2.2424881502266345</v>
      </c>
      <c r="AJ11" s="2">
        <f t="shared" si="23"/>
        <v>0.963538315847288</v>
      </c>
      <c r="AK11" s="2">
        <f t="shared" si="24"/>
        <v>0.19885645195487783</v>
      </c>
    </row>
    <row r="12" spans="1:37" x14ac:dyDescent="0.3">
      <c r="A12" s="2" t="s">
        <v>47</v>
      </c>
      <c r="B12" s="1" t="s">
        <v>33</v>
      </c>
      <c r="C12" s="2">
        <v>0.5</v>
      </c>
      <c r="D12" s="1">
        <f t="shared" si="14"/>
        <v>0.6299605249474366</v>
      </c>
      <c r="E12" s="1">
        <v>1.3095238095238</v>
      </c>
      <c r="F12" s="1">
        <v>0.75783972125435495</v>
      </c>
      <c r="G12" s="1">
        <v>0.143983614951356</v>
      </c>
      <c r="H12" s="1">
        <f t="shared" si="0"/>
        <v>0.82494830647878004</v>
      </c>
      <c r="I12" s="2">
        <f t="shared" si="15"/>
        <v>0.47740910862741248</v>
      </c>
      <c r="J12" s="1">
        <f t="shared" si="1"/>
        <v>9.0703993658585808E-2</v>
      </c>
      <c r="K12" s="16"/>
      <c r="L12" s="1">
        <v>9.81</v>
      </c>
      <c r="M12" s="2">
        <v>1000</v>
      </c>
      <c r="N12" s="3">
        <f t="shared" si="2"/>
        <v>4.3829769868345865E-2</v>
      </c>
      <c r="O12" s="2">
        <f t="shared" si="3"/>
        <v>2.1914884934172933E-2</v>
      </c>
      <c r="P12" s="2">
        <v>32</v>
      </c>
      <c r="Q12" s="8">
        <v>1</v>
      </c>
      <c r="R12" s="2">
        <v>39</v>
      </c>
      <c r="S12" s="4">
        <f t="shared" si="16"/>
        <v>1</v>
      </c>
      <c r="T12" s="2">
        <f t="shared" si="4"/>
        <v>1.6498966129575603</v>
      </c>
      <c r="U12" s="1">
        <f t="shared" si="17"/>
        <v>0.64989661295756029</v>
      </c>
      <c r="V12" s="2">
        <f t="shared" si="18"/>
        <v>0.47740910862741248</v>
      </c>
      <c r="W12" s="2">
        <f t="shared" si="19"/>
        <v>0.53550396825564972</v>
      </c>
      <c r="X12" s="2">
        <f t="shared" si="20"/>
        <v>1.0783707313452696E-2</v>
      </c>
      <c r="Y12" s="2">
        <f t="shared" si="5"/>
        <v>49.658614861292413</v>
      </c>
      <c r="Z12" s="5">
        <f t="shared" si="6"/>
        <v>8.1847703222661314E-2</v>
      </c>
      <c r="AA12" s="5">
        <f t="shared" si="7"/>
        <v>429.97004240847292</v>
      </c>
      <c r="AB12" s="2">
        <f t="shared" si="21"/>
        <v>390.97004240847292</v>
      </c>
      <c r="AC12" s="2">
        <f t="shared" si="8"/>
        <v>286.7645000175479</v>
      </c>
      <c r="AD12" s="2">
        <f t="shared" si="9"/>
        <v>1.0997518883026185</v>
      </c>
      <c r="AE12" s="12">
        <f t="shared" si="10"/>
        <v>9.0703993658585808E-2</v>
      </c>
      <c r="AF12" s="2">
        <f t="shared" si="11"/>
        <v>0.6669406510538255</v>
      </c>
      <c r="AG12" s="2">
        <f t="shared" si="12"/>
        <v>0.73346924038222239</v>
      </c>
      <c r="AH12" s="2">
        <f t="shared" si="22"/>
        <v>1.0191988929650049</v>
      </c>
      <c r="AI12" s="2">
        <f t="shared" si="13"/>
        <v>2.2256550952262115</v>
      </c>
      <c r="AJ12" s="2">
        <f t="shared" si="23"/>
        <v>0.96268036390105582</v>
      </c>
      <c r="AK12" s="2">
        <f t="shared" si="24"/>
        <v>0.20187580564359747</v>
      </c>
    </row>
    <row r="13" spans="1:37" x14ac:dyDescent="0.3">
      <c r="A13" s="2" t="s">
        <v>47</v>
      </c>
      <c r="B13" s="1" t="s">
        <v>33</v>
      </c>
      <c r="C13" s="2">
        <v>0.5</v>
      </c>
      <c r="D13" s="1">
        <f t="shared" si="14"/>
        <v>0.6299605249474366</v>
      </c>
      <c r="E13" s="1">
        <v>1.26428571428571</v>
      </c>
      <c r="F13" s="1">
        <v>0.87398373983739797</v>
      </c>
      <c r="G13" s="1">
        <v>0.15444316436251901</v>
      </c>
      <c r="H13" s="1">
        <f t="shared" si="0"/>
        <v>0.79645009225497077</v>
      </c>
      <c r="I13" s="2">
        <f t="shared" si="15"/>
        <v>0.55057525554349107</v>
      </c>
      <c r="J13" s="1">
        <f t="shared" si="1"/>
        <v>9.7293096896355707E-2</v>
      </c>
      <c r="K13" s="16"/>
      <c r="L13" s="1">
        <v>9.81</v>
      </c>
      <c r="M13" s="2">
        <v>1000</v>
      </c>
      <c r="N13" s="3">
        <f t="shared" si="2"/>
        <v>4.0861431026609961E-2</v>
      </c>
      <c r="O13" s="2">
        <f t="shared" si="3"/>
        <v>2.043071551330498E-2</v>
      </c>
      <c r="P13" s="2">
        <v>32</v>
      </c>
      <c r="Q13" s="8">
        <v>1</v>
      </c>
      <c r="R13" s="2">
        <v>39</v>
      </c>
      <c r="S13" s="4">
        <f t="shared" si="16"/>
        <v>1</v>
      </c>
      <c r="T13" s="2">
        <f t="shared" si="4"/>
        <v>1.5929001845099413</v>
      </c>
      <c r="U13" s="1">
        <f t="shared" si="17"/>
        <v>0.59290018450994131</v>
      </c>
      <c r="V13" s="2">
        <f t="shared" si="18"/>
        <v>0.55057525554349107</v>
      </c>
      <c r="W13" s="2">
        <f t="shared" si="19"/>
        <v>0.46205421567916205</v>
      </c>
      <c r="X13" s="2">
        <f t="shared" si="20"/>
        <v>1.0534555589625991E-2</v>
      </c>
      <c r="Y13" s="2">
        <f t="shared" si="5"/>
        <v>43.860817074635264</v>
      </c>
      <c r="Z13" s="5">
        <f t="shared" si="6"/>
        <v>8.8434278143201775E-2</v>
      </c>
      <c r="AA13" s="5">
        <f t="shared" si="7"/>
        <v>400.85063837104371</v>
      </c>
      <c r="AB13" s="2">
        <f t="shared" si="21"/>
        <v>361.85063837104371</v>
      </c>
      <c r="AC13" s="2">
        <f t="shared" si="8"/>
        <v>213.4940982268856</v>
      </c>
      <c r="AD13" s="2">
        <f t="shared" si="9"/>
        <v>1.1077792764870271</v>
      </c>
      <c r="AE13" s="12">
        <f t="shared" si="10"/>
        <v>9.7293096896355707E-2</v>
      </c>
      <c r="AF13" s="2">
        <f t="shared" si="11"/>
        <v>0.53260261501508888</v>
      </c>
      <c r="AG13" s="2">
        <f t="shared" si="12"/>
        <v>0.59000613951651382</v>
      </c>
      <c r="AH13" s="2">
        <f t="shared" si="22"/>
        <v>1.0206824497037186</v>
      </c>
      <c r="AI13" s="2">
        <f t="shared" si="13"/>
        <v>2.1742325382612684</v>
      </c>
      <c r="AJ13" s="2">
        <f t="shared" si="23"/>
        <v>0.95988389570003985</v>
      </c>
      <c r="AK13" s="2">
        <f t="shared" si="24"/>
        <v>0.21153781702026303</v>
      </c>
    </row>
    <row r="14" spans="1:37" x14ac:dyDescent="0.3">
      <c r="A14" s="2" t="s">
        <v>47</v>
      </c>
      <c r="B14" s="1" t="s">
        <v>33</v>
      </c>
      <c r="C14" s="2">
        <v>0.5</v>
      </c>
      <c r="D14" s="1">
        <f t="shared" si="14"/>
        <v>0.6299605249474366</v>
      </c>
      <c r="E14" s="1">
        <v>1.2404761904761901</v>
      </c>
      <c r="F14" s="1">
        <v>0.88945233999999995</v>
      </c>
      <c r="G14" s="1">
        <v>0.15604326676907301</v>
      </c>
      <c r="H14" s="1">
        <f t="shared" si="0"/>
        <v>0.78145103213717704</v>
      </c>
      <c r="I14" s="2">
        <f t="shared" si="15"/>
        <v>0.56031986302212577</v>
      </c>
      <c r="J14" s="1">
        <f t="shared" si="1"/>
        <v>9.8301098248358129E-2</v>
      </c>
      <c r="K14" s="16"/>
      <c r="L14" s="1">
        <v>9.81</v>
      </c>
      <c r="M14" s="2">
        <v>1000</v>
      </c>
      <c r="N14" s="3">
        <f t="shared" si="2"/>
        <v>4.0442428813475845E-2</v>
      </c>
      <c r="O14" s="2">
        <f t="shared" si="3"/>
        <v>2.0221214406737922E-2</v>
      </c>
      <c r="P14" s="2">
        <v>32</v>
      </c>
      <c r="Q14" s="8">
        <v>1</v>
      </c>
      <c r="R14" s="2">
        <v>39</v>
      </c>
      <c r="S14" s="4">
        <f t="shared" si="16"/>
        <v>1</v>
      </c>
      <c r="T14" s="2">
        <f t="shared" si="4"/>
        <v>1.5629020642743541</v>
      </c>
      <c r="U14" s="1">
        <f t="shared" si="17"/>
        <v>0.56290206427435407</v>
      </c>
      <c r="V14" s="2">
        <f t="shared" si="18"/>
        <v>0.56031986302212577</v>
      </c>
      <c r="W14" s="2">
        <f t="shared" si="19"/>
        <v>0.45212136407568043</v>
      </c>
      <c r="X14" s="2">
        <f t="shared" si="20"/>
        <v>1.0498423913016319E-2</v>
      </c>
      <c r="Y14" s="2">
        <f t="shared" si="5"/>
        <v>43.065641835544888</v>
      </c>
      <c r="Z14" s="5">
        <f t="shared" si="6"/>
        <v>8.945038219142018E-2</v>
      </c>
      <c r="AA14" s="5">
        <f t="shared" si="7"/>
        <v>396.74022666019806</v>
      </c>
      <c r="AB14" s="2">
        <f t="shared" si="21"/>
        <v>357.74022666019806</v>
      </c>
      <c r="AC14" s="2">
        <f t="shared" si="8"/>
        <v>204.413727853654</v>
      </c>
      <c r="AD14" s="2">
        <f t="shared" si="9"/>
        <v>1.1090176532957934</v>
      </c>
      <c r="AE14" s="12">
        <f t="shared" si="10"/>
        <v>9.8301098248358115E-2</v>
      </c>
      <c r="AF14" s="2">
        <f t="shared" si="11"/>
        <v>0.51523317807833802</v>
      </c>
      <c r="AG14" s="2">
        <f t="shared" si="12"/>
        <v>0.57140269005257194</v>
      </c>
      <c r="AH14" s="2">
        <f t="shared" si="22"/>
        <v>1.0209105501347913</v>
      </c>
      <c r="AI14" s="2">
        <f t="shared" si="13"/>
        <v>2.1667753022840763</v>
      </c>
      <c r="AJ14" s="2">
        <f t="shared" si="23"/>
        <v>0.95945501293349111</v>
      </c>
      <c r="AK14" s="2">
        <f t="shared" si="24"/>
        <v>0.21299639187194283</v>
      </c>
    </row>
    <row r="15" spans="1:37" x14ac:dyDescent="0.3">
      <c r="A15" s="2" t="s">
        <v>47</v>
      </c>
      <c r="B15" s="1" t="s">
        <v>33</v>
      </c>
      <c r="C15" s="2">
        <v>0.5</v>
      </c>
      <c r="D15" s="1">
        <f t="shared" si="14"/>
        <v>0.6299605249474366</v>
      </c>
      <c r="E15" s="1">
        <v>1.24999999999999</v>
      </c>
      <c r="F15" s="1">
        <v>0.75219999999999998</v>
      </c>
      <c r="G15" s="1">
        <v>0.14072580645161201</v>
      </c>
      <c r="H15" s="1">
        <f t="shared" si="0"/>
        <v>0.78745065618428944</v>
      </c>
      <c r="I15" s="2">
        <f t="shared" si="15"/>
        <v>0.47385630686546182</v>
      </c>
      <c r="J15" s="1">
        <f t="shared" si="1"/>
        <v>8.8651702905908861E-2</v>
      </c>
      <c r="K15" s="16"/>
      <c r="L15" s="1">
        <v>9.81</v>
      </c>
      <c r="M15" s="2">
        <v>1000</v>
      </c>
      <c r="N15" s="3">
        <f t="shared" si="2"/>
        <v>4.4844430934566276E-2</v>
      </c>
      <c r="O15" s="2">
        <f t="shared" si="3"/>
        <v>2.2422215467283138E-2</v>
      </c>
      <c r="P15" s="2">
        <v>32</v>
      </c>
      <c r="Q15" s="8">
        <v>1</v>
      </c>
      <c r="R15" s="2">
        <v>39</v>
      </c>
      <c r="S15" s="4">
        <f t="shared" si="16"/>
        <v>1</v>
      </c>
      <c r="T15" s="2">
        <f t="shared" si="4"/>
        <v>1.5749013123685789</v>
      </c>
      <c r="U15" s="1">
        <f t="shared" si="17"/>
        <v>0.57490131236857889</v>
      </c>
      <c r="V15" s="2">
        <f t="shared" si="18"/>
        <v>0.47385630686546182</v>
      </c>
      <c r="W15" s="2">
        <f t="shared" si="19"/>
        <v>0.56185008389663116</v>
      </c>
      <c r="X15" s="2">
        <f t="shared" si="20"/>
        <v>1.0866287737622273E-2</v>
      </c>
      <c r="Y15" s="2">
        <f t="shared" si="5"/>
        <v>51.705798471665858</v>
      </c>
      <c r="Z15" s="5">
        <f t="shared" si="6"/>
        <v>7.9815652288514616E-2</v>
      </c>
      <c r="AA15" s="5">
        <f t="shared" si="7"/>
        <v>439.92386746809518</v>
      </c>
      <c r="AB15" s="2">
        <f t="shared" si="21"/>
        <v>400.92386746809518</v>
      </c>
      <c r="AC15" s="2">
        <f t="shared" si="8"/>
        <v>315.6755167746515</v>
      </c>
      <c r="AD15" s="2">
        <f t="shared" si="9"/>
        <v>1.0972753262266273</v>
      </c>
      <c r="AE15" s="12">
        <f t="shared" si="10"/>
        <v>8.8651702905908861E-2</v>
      </c>
      <c r="AF15" s="2">
        <f t="shared" si="11"/>
        <v>0.71756851609681171</v>
      </c>
      <c r="AG15" s="2">
        <f t="shared" si="12"/>
        <v>0.78737022759008579</v>
      </c>
      <c r="AH15" s="2">
        <f t="shared" si="22"/>
        <v>1.0187394464162014</v>
      </c>
      <c r="AI15" s="2">
        <f t="shared" si="13"/>
        <v>2.2426989129483119</v>
      </c>
      <c r="AJ15" s="2">
        <f t="shared" si="23"/>
        <v>0.96354888805601469</v>
      </c>
      <c r="AK15" s="2">
        <f t="shared" si="24"/>
        <v>0.19881907773809854</v>
      </c>
    </row>
    <row r="16" spans="1:37" x14ac:dyDescent="0.3">
      <c r="A16" s="2" t="s">
        <v>47</v>
      </c>
      <c r="B16" s="1" t="s">
        <v>33</v>
      </c>
      <c r="C16" s="2">
        <v>0.5</v>
      </c>
      <c r="D16" s="1">
        <f t="shared" si="14"/>
        <v>0.6299605249474366</v>
      </c>
      <c r="E16" s="1">
        <v>1.2190476190476101</v>
      </c>
      <c r="F16" s="1">
        <v>0.98141695702671194</v>
      </c>
      <c r="G16" s="1">
        <v>0.18909626216077799</v>
      </c>
      <c r="H16" s="1">
        <f t="shared" si="0"/>
        <v>0.76795187803115517</v>
      </c>
      <c r="I16" s="2">
        <f t="shared" si="15"/>
        <v>0.61825394144086332</v>
      </c>
      <c r="J16" s="1">
        <f t="shared" si="1"/>
        <v>0.1191231805764018</v>
      </c>
      <c r="K16" s="16"/>
      <c r="L16" s="1">
        <v>9.81</v>
      </c>
      <c r="M16" s="2">
        <v>1000</v>
      </c>
      <c r="N16" s="3">
        <f t="shared" si="2"/>
        <v>3.3373312809138252E-2</v>
      </c>
      <c r="O16" s="2">
        <f t="shared" si="3"/>
        <v>1.6686656404569126E-2</v>
      </c>
      <c r="P16" s="2">
        <v>32</v>
      </c>
      <c r="Q16" s="8">
        <v>1</v>
      </c>
      <c r="R16" s="2">
        <v>39</v>
      </c>
      <c r="S16" s="4">
        <f t="shared" si="16"/>
        <v>1</v>
      </c>
      <c r="T16" s="2">
        <f t="shared" si="4"/>
        <v>1.5359037560623103</v>
      </c>
      <c r="U16" s="1">
        <f t="shared" si="17"/>
        <v>0.53590375606231033</v>
      </c>
      <c r="V16" s="2">
        <f t="shared" si="18"/>
        <v>0.61825394144086332</v>
      </c>
      <c r="W16" s="2">
        <f t="shared" si="19"/>
        <v>0.30076884554739902</v>
      </c>
      <c r="X16" s="2">
        <f t="shared" si="20"/>
        <v>9.8471707392858553E-3</v>
      </c>
      <c r="Y16" s="2">
        <f t="shared" si="5"/>
        <v>30.543681379207165</v>
      </c>
      <c r="Z16" s="5">
        <f t="shared" si="6"/>
        <v>0.11096000567611601</v>
      </c>
      <c r="AA16" s="5">
        <f t="shared" si="7"/>
        <v>327.39219865764625</v>
      </c>
      <c r="AB16" s="2">
        <f t="shared" si="21"/>
        <v>288.39219865764625</v>
      </c>
      <c r="AC16" s="2">
        <f t="shared" si="8"/>
        <v>90.461898451915161</v>
      </c>
      <c r="AD16" s="2">
        <f t="shared" si="9"/>
        <v>1.1352325069177664</v>
      </c>
      <c r="AE16" s="12">
        <f t="shared" si="10"/>
        <v>0.11912318057640178</v>
      </c>
      <c r="AF16" s="2">
        <f t="shared" si="11"/>
        <v>0.27631048883516951</v>
      </c>
      <c r="AG16" s="2">
        <f t="shared" si="12"/>
        <v>0.31367664892802299</v>
      </c>
      <c r="AH16" s="2">
        <f t="shared" si="22"/>
        <v>1.0256919893569225</v>
      </c>
      <c r="AI16" s="2">
        <f t="shared" si="13"/>
        <v>2.0323628129366291</v>
      </c>
      <c r="AJ16" s="2">
        <f t="shared" si="23"/>
        <v>0.95053053464525228</v>
      </c>
      <c r="AK16" s="2">
        <f t="shared" si="24"/>
        <v>0.24210152236221399</v>
      </c>
    </row>
    <row r="17" spans="1:37" x14ac:dyDescent="0.3">
      <c r="A17" s="2" t="s">
        <v>47</v>
      </c>
      <c r="B17" s="1" t="s">
        <v>33</v>
      </c>
      <c r="C17" s="2">
        <v>0.5</v>
      </c>
      <c r="D17" s="1">
        <f t="shared" si="14"/>
        <v>0.6299605249474366</v>
      </c>
      <c r="E17" s="1">
        <v>1.18333333333333</v>
      </c>
      <c r="F17" s="1">
        <v>0.91463414634146301</v>
      </c>
      <c r="G17" s="1">
        <v>0.19552867383512501</v>
      </c>
      <c r="H17" s="1">
        <f t="shared" si="0"/>
        <v>0.74545328785446452</v>
      </c>
      <c r="I17" s="2">
        <f t="shared" si="15"/>
        <v>0.57618340696411863</v>
      </c>
      <c r="J17" s="1">
        <f t="shared" si="1"/>
        <v>0.12317534601145146</v>
      </c>
      <c r="K17" s="16"/>
      <c r="L17" s="1">
        <v>9.81</v>
      </c>
      <c r="M17" s="2">
        <v>1000</v>
      </c>
      <c r="N17" s="3">
        <f t="shared" si="2"/>
        <v>3.2275413034570398E-2</v>
      </c>
      <c r="O17" s="2">
        <f t="shared" si="3"/>
        <v>1.6137706517285199E-2</v>
      </c>
      <c r="P17" s="2">
        <v>32</v>
      </c>
      <c r="Q17" s="8">
        <v>1</v>
      </c>
      <c r="R17" s="2">
        <v>39</v>
      </c>
      <c r="S17" s="4">
        <f t="shared" si="16"/>
        <v>1</v>
      </c>
      <c r="T17" s="2">
        <f t="shared" si="4"/>
        <v>1.490906575708929</v>
      </c>
      <c r="U17" s="1">
        <f t="shared" si="17"/>
        <v>0.49090657570892904</v>
      </c>
      <c r="V17" s="2">
        <f t="shared" si="18"/>
        <v>0.57618340696411863</v>
      </c>
      <c r="W17" s="2">
        <f t="shared" si="19"/>
        <v>0.28001119758525062</v>
      </c>
      <c r="X17" s="2">
        <f t="shared" si="20"/>
        <v>9.7379819386783275E-3</v>
      </c>
      <c r="Y17" s="2">
        <f t="shared" si="5"/>
        <v>28.754540658272642</v>
      </c>
      <c r="Z17" s="5">
        <f t="shared" si="6"/>
        <v>0.11526472267147105</v>
      </c>
      <c r="AA17" s="5">
        <f t="shared" si="7"/>
        <v>316.6218018691356</v>
      </c>
      <c r="AB17" s="2">
        <f t="shared" si="21"/>
        <v>277.6218018691356</v>
      </c>
      <c r="AC17" s="2">
        <f t="shared" si="8"/>
        <v>78.406270773126266</v>
      </c>
      <c r="AD17" s="2">
        <f t="shared" si="9"/>
        <v>1.1404788807558555</v>
      </c>
      <c r="AE17" s="12">
        <f t="shared" si="10"/>
        <v>0.12317534601145144</v>
      </c>
      <c r="AF17" s="2">
        <f t="shared" si="11"/>
        <v>0.24763383415249693</v>
      </c>
      <c r="AG17" s="2">
        <f t="shared" si="12"/>
        <v>0.28242115801152079</v>
      </c>
      <c r="AH17" s="2">
        <f t="shared" si="22"/>
        <v>1.0266382701683885</v>
      </c>
      <c r="AI17" s="2">
        <f t="shared" si="13"/>
        <v>2.0098272782313602</v>
      </c>
      <c r="AJ17" s="2">
        <f t="shared" si="23"/>
        <v>0.94877908177393921</v>
      </c>
      <c r="AK17" s="2">
        <f t="shared" si="24"/>
        <v>0.24756117041940157</v>
      </c>
    </row>
    <row r="18" spans="1:37" x14ac:dyDescent="0.3">
      <c r="A18" s="2" t="s">
        <v>47</v>
      </c>
      <c r="B18" s="1" t="s">
        <v>33</v>
      </c>
      <c r="C18" s="2">
        <v>0.5</v>
      </c>
      <c r="D18" s="1">
        <f t="shared" si="14"/>
        <v>0.6299605249474366</v>
      </c>
      <c r="E18" s="1">
        <v>1.1571428571428499</v>
      </c>
      <c r="F18" s="1">
        <v>1</v>
      </c>
      <c r="G18" s="1">
        <v>0.199546850998463</v>
      </c>
      <c r="H18" s="1">
        <f t="shared" si="0"/>
        <v>0.72895432172488639</v>
      </c>
      <c r="I18" s="2">
        <f t="shared" si="15"/>
        <v>0.6299605249474366</v>
      </c>
      <c r="J18" s="1">
        <f t="shared" si="1"/>
        <v>0.12570663900659967</v>
      </c>
      <c r="K18" s="16"/>
      <c r="L18" s="1">
        <v>9.81</v>
      </c>
      <c r="M18" s="2">
        <v>1000</v>
      </c>
      <c r="N18" s="3">
        <f t="shared" si="2"/>
        <v>3.1625498856802624E-2</v>
      </c>
      <c r="O18" s="2">
        <f t="shared" si="3"/>
        <v>1.5812749428401312E-2</v>
      </c>
      <c r="P18" s="2">
        <v>32</v>
      </c>
      <c r="Q18" s="8">
        <v>1</v>
      </c>
      <c r="R18" s="2">
        <v>39</v>
      </c>
      <c r="S18" s="4">
        <f t="shared" si="16"/>
        <v>1</v>
      </c>
      <c r="T18" s="2">
        <f t="shared" si="4"/>
        <v>1.4579086434497728</v>
      </c>
      <c r="U18" s="1">
        <f t="shared" si="17"/>
        <v>0.45790864344977278</v>
      </c>
      <c r="V18" s="2">
        <f t="shared" si="18"/>
        <v>0.6299605249474366</v>
      </c>
      <c r="W18" s="2">
        <f t="shared" si="19"/>
        <v>0.26807170656850093</v>
      </c>
      <c r="X18" s="2">
        <f t="shared" si="20"/>
        <v>9.6721752460036774E-3</v>
      </c>
      <c r="Y18" s="2">
        <f t="shared" si="5"/>
        <v>27.715761940858346</v>
      </c>
      <c r="Z18" s="5">
        <f t="shared" si="6"/>
        <v>0.11797402740345257</v>
      </c>
      <c r="AA18" s="5">
        <f t="shared" si="7"/>
        <v>310.24614378523376</v>
      </c>
      <c r="AB18" s="2">
        <f t="shared" si="21"/>
        <v>271.24614378523376</v>
      </c>
      <c r="AC18" s="2">
        <f t="shared" si="8"/>
        <v>71.86243986254847</v>
      </c>
      <c r="AD18" s="2">
        <f t="shared" si="9"/>
        <v>1.1437808458979577</v>
      </c>
      <c r="AE18" s="12">
        <f t="shared" si="10"/>
        <v>0.12570663900659967</v>
      </c>
      <c r="AF18" s="2">
        <f t="shared" si="11"/>
        <v>0.2316304047675605</v>
      </c>
      <c r="AG18" s="2">
        <f t="shared" si="12"/>
        <v>0.26493442030072673</v>
      </c>
      <c r="AH18" s="2">
        <f t="shared" si="22"/>
        <v>1.0272320566525737</v>
      </c>
      <c r="AI18" s="2">
        <f t="shared" si="13"/>
        <v>1.9962453998852547</v>
      </c>
      <c r="AJ18" s="2">
        <f t="shared" si="23"/>
        <v>0.94768252454656021</v>
      </c>
      <c r="AK18" s="2">
        <f t="shared" si="24"/>
        <v>0.25094129985196095</v>
      </c>
    </row>
    <row r="19" spans="1:37" x14ac:dyDescent="0.3">
      <c r="A19" s="2" t="s">
        <v>47</v>
      </c>
      <c r="B19" s="1" t="s">
        <v>33</v>
      </c>
      <c r="C19" s="2">
        <v>0.5</v>
      </c>
      <c r="D19" s="1">
        <f t="shared" si="14"/>
        <v>0.6299605249474366</v>
      </c>
      <c r="E19" s="1">
        <v>1.1428571428571399</v>
      </c>
      <c r="F19" s="1">
        <v>1.0249709639953499</v>
      </c>
      <c r="G19" s="1">
        <v>0.243087557603686</v>
      </c>
      <c r="H19" s="1">
        <f t="shared" si="0"/>
        <v>0.7199548856542114</v>
      </c>
      <c r="I19" s="2">
        <f t="shared" si="15"/>
        <v>0.64569124653439081</v>
      </c>
      <c r="J19" s="1">
        <f t="shared" si="1"/>
        <v>0.15313556539620826</v>
      </c>
      <c r="K19" s="16"/>
      <c r="L19" s="1">
        <v>9.81</v>
      </c>
      <c r="M19" s="2">
        <v>1000</v>
      </c>
      <c r="N19" s="3">
        <f t="shared" si="2"/>
        <v>2.5960887387001187E-2</v>
      </c>
      <c r="O19" s="2">
        <f t="shared" si="3"/>
        <v>1.2980443693500593E-2</v>
      </c>
      <c r="P19" s="2">
        <v>32</v>
      </c>
      <c r="Q19" s="8">
        <v>1</v>
      </c>
      <c r="R19" s="2">
        <v>39</v>
      </c>
      <c r="S19" s="4">
        <f t="shared" si="16"/>
        <v>1</v>
      </c>
      <c r="T19" s="2">
        <f t="shared" si="4"/>
        <v>1.4399097713084226</v>
      </c>
      <c r="U19" s="1">
        <f t="shared" si="17"/>
        <v>0.43990977130842257</v>
      </c>
      <c r="V19" s="2">
        <f t="shared" si="18"/>
        <v>0.64569124653439081</v>
      </c>
      <c r="W19" s="2">
        <f t="shared" si="19"/>
        <v>0.17497338353336317</v>
      </c>
      <c r="X19" s="2">
        <f t="shared" si="20"/>
        <v>9.0563154103418739E-3</v>
      </c>
      <c r="Y19" s="2">
        <f t="shared" si="5"/>
        <v>19.320592934909492</v>
      </c>
      <c r="Z19" s="5">
        <f t="shared" si="6"/>
        <v>0.14837049420177142</v>
      </c>
      <c r="AA19" s="5">
        <f t="shared" si="7"/>
        <v>254.67630526648165</v>
      </c>
      <c r="AB19" s="2">
        <f t="shared" si="21"/>
        <v>215.67630526648168</v>
      </c>
      <c r="AC19" s="2">
        <f t="shared" si="8"/>
        <v>30.615684945113408</v>
      </c>
      <c r="AD19" s="2">
        <f t="shared" si="9"/>
        <v>1.1808265398084088</v>
      </c>
      <c r="AE19" s="12">
        <f t="shared" si="10"/>
        <v>0.15313556539620826</v>
      </c>
      <c r="AF19" s="2">
        <f t="shared" si="11"/>
        <v>0.12021410830928521</v>
      </c>
      <c r="AG19" s="2">
        <f t="shared" si="12"/>
        <v>0.14195200955100654</v>
      </c>
      <c r="AH19" s="2">
        <f t="shared" si="22"/>
        <v>1.0338016503260357</v>
      </c>
      <c r="AI19" s="2">
        <f t="shared" si="13"/>
        <v>1.8691377604303214</v>
      </c>
      <c r="AJ19" s="2">
        <f t="shared" si="23"/>
        <v>0.93567614594785142</v>
      </c>
      <c r="AK19" s="2">
        <f t="shared" si="24"/>
        <v>0.28623146774689978</v>
      </c>
    </row>
    <row r="20" spans="1:37" x14ac:dyDescent="0.3">
      <c r="A20" s="2" t="s">
        <v>47</v>
      </c>
      <c r="B20" s="1" t="s">
        <v>33</v>
      </c>
      <c r="C20" s="2">
        <v>0.5</v>
      </c>
      <c r="D20" s="1">
        <f t="shared" si="14"/>
        <v>0.6299605249474366</v>
      </c>
      <c r="E20" s="1">
        <v>1.1047619047618999</v>
      </c>
      <c r="F20" s="1">
        <v>0.99856522999999997</v>
      </c>
      <c r="G20" s="1">
        <v>0.24548643113159199</v>
      </c>
      <c r="H20" s="1">
        <f t="shared" si="0"/>
        <v>0.69595638946573646</v>
      </c>
      <c r="I20" s="2">
        <f t="shared" si="15"/>
        <v>0.6290566764850577</v>
      </c>
      <c r="J20" s="1">
        <f t="shared" si="1"/>
        <v>0.15464676102313044</v>
      </c>
      <c r="K20" s="16"/>
      <c r="L20" s="1">
        <v>9.81</v>
      </c>
      <c r="M20" s="2">
        <v>1000</v>
      </c>
      <c r="N20" s="3">
        <f t="shared" si="2"/>
        <v>2.5707199697516458E-2</v>
      </c>
      <c r="O20" s="2">
        <f t="shared" si="3"/>
        <v>1.2853599848758229E-2</v>
      </c>
      <c r="P20" s="2">
        <v>32</v>
      </c>
      <c r="Q20" s="8">
        <v>1</v>
      </c>
      <c r="R20" s="2">
        <v>39</v>
      </c>
      <c r="S20" s="4">
        <f t="shared" si="16"/>
        <v>1</v>
      </c>
      <c r="T20" s="2">
        <f t="shared" si="4"/>
        <v>1.3919127789314729</v>
      </c>
      <c r="U20" s="1">
        <f t="shared" si="17"/>
        <v>0.39191277893147292</v>
      </c>
      <c r="V20" s="2">
        <f t="shared" si="18"/>
        <v>0.6290566764850577</v>
      </c>
      <c r="W20" s="2">
        <f t="shared" si="19"/>
        <v>0.17126427976818881</v>
      </c>
      <c r="X20" s="2">
        <f t="shared" si="20"/>
        <v>9.0267196037297995E-3</v>
      </c>
      <c r="Y20" s="2">
        <f t="shared" si="5"/>
        <v>18.973036417063756</v>
      </c>
      <c r="Z20" s="5">
        <f t="shared" si="6"/>
        <v>0.15010251835532723</v>
      </c>
      <c r="AA20" s="5">
        <f t="shared" si="7"/>
        <v>252.18762903263644</v>
      </c>
      <c r="AB20" s="2">
        <f t="shared" si="21"/>
        <v>213.18762903263644</v>
      </c>
      <c r="AC20" s="2">
        <f t="shared" si="8"/>
        <v>29.331453524516444</v>
      </c>
      <c r="AD20" s="2">
        <f t="shared" si="9"/>
        <v>1.1829374442455551</v>
      </c>
      <c r="AE20" s="12">
        <f t="shared" si="10"/>
        <v>0.15464676102313044</v>
      </c>
      <c r="AF20" s="2">
        <f t="shared" si="11"/>
        <v>0.11630805855556287</v>
      </c>
      <c r="AG20" s="2">
        <f t="shared" si="12"/>
        <v>0.13758515753287989</v>
      </c>
      <c r="AH20" s="2">
        <f t="shared" si="22"/>
        <v>1.0341710013940677</v>
      </c>
      <c r="AI20" s="2">
        <f t="shared" si="13"/>
        <v>1.8630294661425753</v>
      </c>
      <c r="AJ20" s="2">
        <f t="shared" si="23"/>
        <v>0.93500791744478173</v>
      </c>
      <c r="AK20" s="2">
        <f t="shared" si="24"/>
        <v>0.28811147262960118</v>
      </c>
    </row>
    <row r="21" spans="1:37" x14ac:dyDescent="0.3">
      <c r="A21" s="2" t="s">
        <v>47</v>
      </c>
      <c r="B21" s="1" t="s">
        <v>33</v>
      </c>
      <c r="C21" s="2">
        <v>0.5</v>
      </c>
      <c r="D21" s="1">
        <f t="shared" si="14"/>
        <v>0.6299605249474366</v>
      </c>
      <c r="E21" s="1">
        <v>1.08095238095238</v>
      </c>
      <c r="F21" s="1">
        <v>1.1004645760743299</v>
      </c>
      <c r="G21" s="1">
        <v>0.30111879160266197</v>
      </c>
      <c r="H21" s="1">
        <f t="shared" si="0"/>
        <v>0.68095732934794273</v>
      </c>
      <c r="I21" s="2">
        <f t="shared" si="15"/>
        <v>0.69324924202984317</v>
      </c>
      <c r="J21" s="1">
        <f t="shared" si="1"/>
        <v>0.18969295202955069</v>
      </c>
      <c r="K21" s="16"/>
      <c r="L21" s="1">
        <v>9.81</v>
      </c>
      <c r="M21" s="2">
        <v>1000</v>
      </c>
      <c r="N21" s="3">
        <f t="shared" si="2"/>
        <v>2.0957737889894839E-2</v>
      </c>
      <c r="O21" s="2">
        <f t="shared" si="3"/>
        <v>1.0478868944947419E-2</v>
      </c>
      <c r="P21" s="2">
        <v>32</v>
      </c>
      <c r="Q21" s="8">
        <v>1</v>
      </c>
      <c r="R21" s="2">
        <v>39</v>
      </c>
      <c r="S21" s="4">
        <f t="shared" si="16"/>
        <v>1</v>
      </c>
      <c r="T21" s="2">
        <f t="shared" si="4"/>
        <v>1.3619146586958855</v>
      </c>
      <c r="U21" s="1">
        <f t="shared" si="17"/>
        <v>0.36191465869588546</v>
      </c>
      <c r="V21" s="2">
        <f t="shared" si="18"/>
        <v>0.69324924202984317</v>
      </c>
      <c r="W21" s="2">
        <f t="shared" si="19"/>
        <v>0.10910821591224211</v>
      </c>
      <c r="X21" s="2">
        <f t="shared" si="20"/>
        <v>8.4325675720338996E-3</v>
      </c>
      <c r="Y21" s="2">
        <f t="shared" si="5"/>
        <v>12.938907987419267</v>
      </c>
      <c r="Z21" s="5">
        <f t="shared" si="6"/>
        <v>0.19208212428981114</v>
      </c>
      <c r="AA21" s="5">
        <f t="shared" si="7"/>
        <v>205.59540869986836</v>
      </c>
      <c r="AB21" s="2">
        <f t="shared" si="21"/>
        <v>166.59540869986836</v>
      </c>
      <c r="AC21" s="2">
        <f t="shared" si="8"/>
        <v>11.904602779552443</v>
      </c>
      <c r="AD21" s="2">
        <f t="shared" si="9"/>
        <v>1.2341000889782074</v>
      </c>
      <c r="AE21" s="12">
        <f t="shared" si="10"/>
        <v>0.18969295202955069</v>
      </c>
      <c r="AF21" s="2">
        <f t="shared" si="11"/>
        <v>5.7903057538269166E-2</v>
      </c>
      <c r="AG21" s="2">
        <f t="shared" si="12"/>
        <v>7.1458168460088234E-2</v>
      </c>
      <c r="AH21" s="2">
        <f t="shared" si="22"/>
        <v>1.0429658217594655</v>
      </c>
      <c r="AI21" s="2">
        <f t="shared" si="13"/>
        <v>1.7404021119085349</v>
      </c>
      <c r="AJ21" s="2">
        <f t="shared" si="23"/>
        <v>0.91930547489068415</v>
      </c>
      <c r="AK21" s="2">
        <f t="shared" si="24"/>
        <v>0.3301420143263944</v>
      </c>
    </row>
    <row r="22" spans="1:37" x14ac:dyDescent="0.3">
      <c r="A22" s="2" t="s">
        <v>47</v>
      </c>
      <c r="B22" s="1" t="s">
        <v>33</v>
      </c>
      <c r="C22" s="2">
        <v>0.8</v>
      </c>
      <c r="D22" s="1">
        <f t="shared" si="14"/>
        <v>0.86177387601275357</v>
      </c>
      <c r="E22" s="1">
        <v>1.01428571428571</v>
      </c>
      <c r="F22" s="1">
        <v>0.98845430000000001</v>
      </c>
      <c r="G22" s="1">
        <v>0.28656682027649699</v>
      </c>
      <c r="H22" s="1">
        <f t="shared" si="0"/>
        <v>0.87408493138436061</v>
      </c>
      <c r="I22" s="2">
        <f t="shared" si="15"/>
        <v>0.85182409337247311</v>
      </c>
      <c r="J22" s="1">
        <f t="shared" si="1"/>
        <v>0.24695579944632695</v>
      </c>
      <c r="K22" s="16"/>
      <c r="L22" s="1">
        <v>9.81</v>
      </c>
      <c r="M22" s="2">
        <v>1000</v>
      </c>
      <c r="N22" s="3">
        <f t="shared" si="2"/>
        <v>1.6098164842084449E-2</v>
      </c>
      <c r="O22" s="2">
        <f t="shared" si="3"/>
        <v>1.2878531873667561E-2</v>
      </c>
      <c r="P22" s="2">
        <v>32</v>
      </c>
      <c r="Q22" s="8">
        <v>1</v>
      </c>
      <c r="R22" s="2">
        <v>39</v>
      </c>
      <c r="S22" s="4">
        <f t="shared" si="16"/>
        <v>0.62499999999999989</v>
      </c>
      <c r="T22" s="2">
        <f t="shared" si="4"/>
        <v>1.0926061642304508</v>
      </c>
      <c r="U22" s="1">
        <f t="shared" si="17"/>
        <v>9.260616423045076E-2</v>
      </c>
      <c r="V22" s="2">
        <f t="shared" si="18"/>
        <v>0.85182409337247311</v>
      </c>
      <c r="W22" s="2">
        <f t="shared" si="19"/>
        <v>5.9826312838880916E-2</v>
      </c>
      <c r="X22" s="2">
        <f t="shared" si="20"/>
        <v>1.0564537125484642E-2</v>
      </c>
      <c r="Y22" s="2">
        <f t="shared" si="5"/>
        <v>5.6629374413918221</v>
      </c>
      <c r="Z22" s="5">
        <f t="shared" si="6"/>
        <v>0.26908168125685172</v>
      </c>
      <c r="AA22" s="5">
        <f t="shared" si="7"/>
        <v>157.92299710084845</v>
      </c>
      <c r="AB22" s="2">
        <f t="shared" si="21"/>
        <v>118.92299710084845</v>
      </c>
      <c r="AC22" s="2">
        <f t="shared" si="8"/>
        <v>3.5791877078956476</v>
      </c>
      <c r="AD22" s="2">
        <f t="shared" si="9"/>
        <v>1.3279432990317881</v>
      </c>
      <c r="AE22" s="12">
        <f t="shared" si="10"/>
        <v>0.24695579944632695</v>
      </c>
      <c r="AF22" s="2">
        <f t="shared" si="11"/>
        <v>2.2664132353124002E-2</v>
      </c>
      <c r="AG22" s="2">
        <f t="shared" si="12"/>
        <v>3.0096682686700571E-2</v>
      </c>
      <c r="AH22" s="2">
        <f t="shared" si="22"/>
        <v>0.96341168578817937</v>
      </c>
      <c r="AI22" s="2">
        <f t="shared" si="13"/>
        <v>1.3627627771335213</v>
      </c>
      <c r="AJ22" s="2">
        <f t="shared" si="23"/>
        <v>1.0773980380367703</v>
      </c>
      <c r="AK22" s="2">
        <f t="shared" si="24"/>
        <v>0.53846747373232884</v>
      </c>
    </row>
    <row r="23" spans="1:37" x14ac:dyDescent="0.3">
      <c r="A23" s="2" t="s">
        <v>47</v>
      </c>
      <c r="B23" s="1" t="s">
        <v>33</v>
      </c>
      <c r="C23" s="2">
        <v>0.8</v>
      </c>
      <c r="D23" s="1">
        <f t="shared" si="14"/>
        <v>0.86177387601275357</v>
      </c>
      <c r="E23" s="1">
        <v>1.29285714285714</v>
      </c>
      <c r="F23" s="1">
        <v>0.83454119999999998</v>
      </c>
      <c r="G23" s="1">
        <v>0.19074884792626701</v>
      </c>
      <c r="H23" s="1">
        <f t="shared" si="0"/>
        <v>1.1141505111307719</v>
      </c>
      <c r="I23" s="2">
        <f t="shared" si="15"/>
        <v>0.71918580461633452</v>
      </c>
      <c r="J23" s="1">
        <f t="shared" si="1"/>
        <v>0.1643823740223864</v>
      </c>
      <c r="K23" s="16"/>
      <c r="L23" s="1">
        <v>9.81</v>
      </c>
      <c r="M23" s="2">
        <v>1000</v>
      </c>
      <c r="N23" s="3">
        <f t="shared" si="2"/>
        <v>2.4184680333515018E-2</v>
      </c>
      <c r="O23" s="2">
        <f t="shared" si="3"/>
        <v>1.9347744266812017E-2</v>
      </c>
      <c r="P23" s="2">
        <v>32</v>
      </c>
      <c r="Q23" s="8">
        <v>1</v>
      </c>
      <c r="R23" s="2">
        <v>39</v>
      </c>
      <c r="S23" s="4">
        <f t="shared" si="16"/>
        <v>0.62499999999999989</v>
      </c>
      <c r="T23" s="2">
        <f t="shared" si="4"/>
        <v>1.3926881389134647</v>
      </c>
      <c r="U23" s="1">
        <f t="shared" si="17"/>
        <v>0.39268813891346466</v>
      </c>
      <c r="V23" s="2">
        <f t="shared" si="18"/>
        <v>0.71918580461633452</v>
      </c>
      <c r="W23" s="2">
        <f t="shared" si="19"/>
        <v>0.14983294782492113</v>
      </c>
      <c r="X23" s="2">
        <f t="shared" si="20"/>
        <v>1.2099621939042425E-2</v>
      </c>
      <c r="Y23" s="2">
        <f t="shared" si="5"/>
        <v>12.383275161800555</v>
      </c>
      <c r="Z23" s="5">
        <f t="shared" si="6"/>
        <v>0.16141096257262899</v>
      </c>
      <c r="AA23" s="5">
        <f t="shared" si="7"/>
        <v>237.25171407178232</v>
      </c>
      <c r="AB23" s="2">
        <f t="shared" si="21"/>
        <v>198.25171407178232</v>
      </c>
      <c r="AC23" s="2">
        <f t="shared" si="8"/>
        <v>22.449912253905534</v>
      </c>
      <c r="AD23" s="2">
        <f t="shared" si="9"/>
        <v>1.1967196106353917</v>
      </c>
      <c r="AE23" s="12">
        <f t="shared" si="10"/>
        <v>0.16438237402238642</v>
      </c>
      <c r="AF23" s="2">
        <f t="shared" si="11"/>
        <v>9.4624868535673215E-2</v>
      </c>
      <c r="AG23" s="2">
        <f t="shared" si="12"/>
        <v>0.11323943583043597</v>
      </c>
      <c r="AH23" s="2">
        <f t="shared" si="22"/>
        <v>0.94357078352425028</v>
      </c>
      <c r="AI23" s="2">
        <f t="shared" si="13"/>
        <v>1.5607796347403826</v>
      </c>
      <c r="AJ23" s="2">
        <f t="shared" si="23"/>
        <v>1.1231843147554159</v>
      </c>
      <c r="AK23" s="2">
        <f t="shared" si="24"/>
        <v>0.41050345869506771</v>
      </c>
    </row>
    <row r="24" spans="1:37" x14ac:dyDescent="0.3">
      <c r="A24" s="2" t="s">
        <v>47</v>
      </c>
      <c r="B24" s="1" t="s">
        <v>33</v>
      </c>
      <c r="C24" s="2">
        <v>0.8</v>
      </c>
      <c r="D24" s="1">
        <f t="shared" si="14"/>
        <v>0.86177387601275357</v>
      </c>
      <c r="E24" s="1">
        <v>1.3119047619047599</v>
      </c>
      <c r="F24" s="1">
        <v>0.69396051103368095</v>
      </c>
      <c r="G24" s="1">
        <v>0.12059779825908799</v>
      </c>
      <c r="H24" s="1">
        <f t="shared" si="0"/>
        <v>1.1305652516262537</v>
      </c>
      <c r="I24" s="2">
        <f t="shared" si="15"/>
        <v>0.59803703939328645</v>
      </c>
      <c r="J24" s="1">
        <f t="shared" si="1"/>
        <v>0.10392803204433837</v>
      </c>
      <c r="K24" s="16"/>
      <c r="L24" s="1">
        <v>9.81</v>
      </c>
      <c r="M24" s="2">
        <v>1000</v>
      </c>
      <c r="N24" s="3">
        <f t="shared" si="2"/>
        <v>3.8252770595133115E-2</v>
      </c>
      <c r="O24" s="2">
        <f t="shared" si="3"/>
        <v>3.0602216476106493E-2</v>
      </c>
      <c r="P24" s="2">
        <v>32</v>
      </c>
      <c r="Q24" s="8">
        <v>1</v>
      </c>
      <c r="R24" s="2">
        <v>39</v>
      </c>
      <c r="S24" s="4">
        <f t="shared" si="16"/>
        <v>0.625</v>
      </c>
      <c r="T24" s="2">
        <f t="shared" si="4"/>
        <v>1.4132065645328169</v>
      </c>
      <c r="U24" s="1">
        <f t="shared" si="17"/>
        <v>0.4132065645328169</v>
      </c>
      <c r="V24" s="2">
        <f t="shared" si="18"/>
        <v>0.59803703939328645</v>
      </c>
      <c r="W24" s="2">
        <f t="shared" si="19"/>
        <v>0.40196451193030869</v>
      </c>
      <c r="X24" s="2">
        <f t="shared" si="20"/>
        <v>1.4097625914720979E-2</v>
      </c>
      <c r="Y24" s="2">
        <f t="shared" si="5"/>
        <v>28.512922272293419</v>
      </c>
      <c r="Z24" s="5">
        <f t="shared" si="6"/>
        <v>9.5164546769156713E-2</v>
      </c>
      <c r="AA24" s="5">
        <f t="shared" si="7"/>
        <v>375.25967953825585</v>
      </c>
      <c r="AB24" s="2">
        <f t="shared" si="21"/>
        <v>336.25967953825585</v>
      </c>
      <c r="AC24" s="2">
        <f t="shared" si="8"/>
        <v>161.57546885137128</v>
      </c>
      <c r="AD24" s="2">
        <f t="shared" si="9"/>
        <v>1.1159817913749097</v>
      </c>
      <c r="AE24" s="12">
        <f t="shared" si="10"/>
        <v>0.10392803204433837</v>
      </c>
      <c r="AF24" s="2">
        <f t="shared" si="11"/>
        <v>0.43056975652216178</v>
      </c>
      <c r="AG24" s="2">
        <f t="shared" si="12"/>
        <v>0.48050800819546086</v>
      </c>
      <c r="AH24" s="2">
        <f t="shared" si="22"/>
        <v>0.93048081944892591</v>
      </c>
      <c r="AI24" s="2">
        <f t="shared" si="13"/>
        <v>1.8185103250941841</v>
      </c>
      <c r="AJ24" s="2">
        <f t="shared" si="23"/>
        <v>1.1550084183441058</v>
      </c>
      <c r="AK24" s="2">
        <f t="shared" si="24"/>
        <v>0.30239071894295771</v>
      </c>
    </row>
    <row r="25" spans="1:37" x14ac:dyDescent="0.3">
      <c r="A25" s="2" t="s">
        <v>47</v>
      </c>
      <c r="B25" s="1" t="s">
        <v>33</v>
      </c>
      <c r="C25" s="2">
        <v>0.8</v>
      </c>
      <c r="D25" s="1">
        <f t="shared" si="14"/>
        <v>0.86177387601275357</v>
      </c>
      <c r="E25" s="1">
        <v>1.21190476190476</v>
      </c>
      <c r="F25" s="1">
        <v>0.75783972125435495</v>
      </c>
      <c r="G25" s="1">
        <v>0.14473758320532501</v>
      </c>
      <c r="H25" s="1">
        <f t="shared" si="0"/>
        <v>1.0443878640249784</v>
      </c>
      <c r="I25" s="2">
        <f t="shared" si="15"/>
        <v>0.65308647398179021</v>
      </c>
      <c r="J25" s="1">
        <f t="shared" si="1"/>
        <v>0.12473106808357136</v>
      </c>
      <c r="K25" s="16"/>
      <c r="L25" s="1">
        <v>9.81</v>
      </c>
      <c r="M25" s="2">
        <v>1000</v>
      </c>
      <c r="N25" s="3">
        <f t="shared" si="2"/>
        <v>3.1872854368023701E-2</v>
      </c>
      <c r="O25" s="2">
        <f t="shared" si="3"/>
        <v>2.5498283494418961E-2</v>
      </c>
      <c r="P25" s="2">
        <v>32</v>
      </c>
      <c r="Q25" s="8">
        <v>1</v>
      </c>
      <c r="R25" s="2">
        <v>39</v>
      </c>
      <c r="S25" s="4">
        <f t="shared" si="16"/>
        <v>0.625</v>
      </c>
      <c r="T25" s="2">
        <f t="shared" si="4"/>
        <v>1.305484830031223</v>
      </c>
      <c r="U25" s="1">
        <f t="shared" si="17"/>
        <v>0.30548483003122295</v>
      </c>
      <c r="V25" s="2">
        <f t="shared" si="18"/>
        <v>0.65308647398179021</v>
      </c>
      <c r="W25" s="2">
        <f t="shared" si="19"/>
        <v>0.2725853173325673</v>
      </c>
      <c r="X25" s="2">
        <f t="shared" si="20"/>
        <v>1.3265755941206556E-2</v>
      </c>
      <c r="Y25" s="2">
        <f t="shared" si="5"/>
        <v>20.548042534527056</v>
      </c>
      <c r="Z25" s="5">
        <f t="shared" si="6"/>
        <v>0.11692799406777026</v>
      </c>
      <c r="AA25" s="5">
        <f t="shared" si="7"/>
        <v>312.67270135031248</v>
      </c>
      <c r="AB25" s="2">
        <f t="shared" si="21"/>
        <v>273.67270135031248</v>
      </c>
      <c r="AC25" s="2">
        <f t="shared" si="8"/>
        <v>74.302755225296409</v>
      </c>
      <c r="AD25" s="2">
        <f t="shared" si="9"/>
        <v>1.1425059927700949</v>
      </c>
      <c r="AE25" s="12">
        <f t="shared" si="10"/>
        <v>0.12473106808357136</v>
      </c>
      <c r="AF25" s="2">
        <f t="shared" si="11"/>
        <v>0.23763748771290727</v>
      </c>
      <c r="AG25" s="2">
        <f t="shared" si="12"/>
        <v>0.27150225381882637</v>
      </c>
      <c r="AH25" s="2">
        <f t="shared" si="22"/>
        <v>0.93486241707688966</v>
      </c>
      <c r="AI25" s="2">
        <f t="shared" si="13"/>
        <v>1.711204020818359</v>
      </c>
      <c r="AJ25" s="2">
        <f t="shared" si="23"/>
        <v>1.1442069947583438</v>
      </c>
      <c r="AK25" s="2">
        <f t="shared" si="24"/>
        <v>0.34150448836092129</v>
      </c>
    </row>
    <row r="26" spans="1:37" x14ac:dyDescent="0.3">
      <c r="A26" s="2" t="s">
        <v>47</v>
      </c>
      <c r="B26" s="1" t="s">
        <v>33</v>
      </c>
      <c r="C26" s="2">
        <v>1.4</v>
      </c>
      <c r="D26" s="1">
        <f t="shared" si="14"/>
        <v>1.2514649491351946</v>
      </c>
      <c r="E26" s="1">
        <v>1.4738095238095199</v>
      </c>
      <c r="F26" s="1">
        <v>0.47653135000000002</v>
      </c>
      <c r="G26" s="1">
        <v>0.119071940604198</v>
      </c>
      <c r="H26" s="1">
        <f t="shared" si="0"/>
        <v>1.8444209607492461</v>
      </c>
      <c r="I26" s="2">
        <f t="shared" si="15"/>
        <v>0.59636228168907568</v>
      </c>
      <c r="J26" s="1">
        <f t="shared" si="1"/>
        <v>0.14901436009166155</v>
      </c>
      <c r="K26" s="16"/>
      <c r="L26" s="1">
        <v>9.81</v>
      </c>
      <c r="M26" s="2">
        <v>1000</v>
      </c>
      <c r="N26" s="3">
        <f t="shared" si="2"/>
        <v>2.6678872866684068E-2</v>
      </c>
      <c r="O26" s="2">
        <f t="shared" si="3"/>
        <v>3.7350422013357691E-2</v>
      </c>
      <c r="P26" s="2">
        <v>32</v>
      </c>
      <c r="Q26" s="8">
        <v>1</v>
      </c>
      <c r="R26" s="2">
        <v>39</v>
      </c>
      <c r="S26" s="4">
        <f t="shared" si="16"/>
        <v>0.35714285714285715</v>
      </c>
      <c r="T26" s="2">
        <f t="shared" si="4"/>
        <v>1.3174435433923188</v>
      </c>
      <c r="U26" s="1">
        <f t="shared" si="17"/>
        <v>0.31744354339231884</v>
      </c>
      <c r="V26" s="2">
        <f t="shared" si="18"/>
        <v>0.59636228168907568</v>
      </c>
      <c r="W26" s="2">
        <f t="shared" si="19"/>
        <v>0.18568474073916449</v>
      </c>
      <c r="X26" s="2">
        <f t="shared" si="20"/>
        <v>1.8155416169636861E-2</v>
      </c>
      <c r="Y26" s="2">
        <f t="shared" si="5"/>
        <v>10.227512220276386</v>
      </c>
      <c r="Z26" s="5">
        <f t="shared" si="6"/>
        <v>0.14367832682686876</v>
      </c>
      <c r="AA26" s="5">
        <f t="shared" si="7"/>
        <v>261.7197428221707</v>
      </c>
      <c r="AB26" s="2">
        <f t="shared" si="21"/>
        <v>222.7197428221707</v>
      </c>
      <c r="AC26" s="2">
        <f t="shared" si="8"/>
        <v>34.47882294337073</v>
      </c>
      <c r="AD26" s="2">
        <f t="shared" si="9"/>
        <v>1.1751079608202464</v>
      </c>
      <c r="AE26" s="12">
        <f t="shared" si="10"/>
        <v>0.14901436009166155</v>
      </c>
      <c r="AF26" s="2">
        <f t="shared" si="11"/>
        <v>0.13173948045179712</v>
      </c>
      <c r="AG26" s="2">
        <f t="shared" si="12"/>
        <v>0.15480811223323002</v>
      </c>
      <c r="AH26" s="2">
        <f t="shared" si="22"/>
        <v>0.84058947403888817</v>
      </c>
      <c r="AI26" s="2">
        <f t="shared" si="13"/>
        <v>1.3382521470772049</v>
      </c>
      <c r="AJ26" s="2">
        <f t="shared" si="23"/>
        <v>1.4152465509947556</v>
      </c>
      <c r="AK26" s="2">
        <f t="shared" si="24"/>
        <v>0.55837260454640514</v>
      </c>
    </row>
    <row r="27" spans="1:37" x14ac:dyDescent="0.3">
      <c r="A27" s="2" t="s">
        <v>47</v>
      </c>
      <c r="B27" s="1" t="s">
        <v>33</v>
      </c>
      <c r="C27" s="2">
        <v>1.4</v>
      </c>
      <c r="D27" s="1">
        <f t="shared" si="14"/>
        <v>1.2514649491351946</v>
      </c>
      <c r="E27" s="1">
        <v>1.3119047619047599</v>
      </c>
      <c r="F27" s="1">
        <v>0.50123865323100003</v>
      </c>
      <c r="G27" s="1">
        <v>0.15769457245263699</v>
      </c>
      <c r="H27" s="1">
        <f t="shared" si="0"/>
        <v>1.6418028261273598</v>
      </c>
      <c r="I27" s="2">
        <f t="shared" si="15"/>
        <v>0.6272826056703269</v>
      </c>
      <c r="J27" s="1">
        <f t="shared" si="1"/>
        <v>0.1973492300933356</v>
      </c>
      <c r="K27" s="16"/>
      <c r="L27" s="1">
        <v>9.81</v>
      </c>
      <c r="M27" s="2">
        <v>1000</v>
      </c>
      <c r="N27" s="3">
        <f t="shared" si="2"/>
        <v>2.0144670269630665E-2</v>
      </c>
      <c r="O27" s="2">
        <f t="shared" si="3"/>
        <v>2.820253837748293E-2</v>
      </c>
      <c r="P27" s="2">
        <v>32</v>
      </c>
      <c r="Q27" s="8">
        <v>1</v>
      </c>
      <c r="R27" s="2">
        <v>39</v>
      </c>
      <c r="S27" s="4">
        <f t="shared" si="16"/>
        <v>0.35714285714285715</v>
      </c>
      <c r="T27" s="2">
        <f t="shared" si="4"/>
        <v>1.1727163043766857</v>
      </c>
      <c r="U27" s="1">
        <f t="shared" si="17"/>
        <v>0.17271630437668573</v>
      </c>
      <c r="V27" s="2">
        <f t="shared" si="18"/>
        <v>0.6272826056703269</v>
      </c>
      <c r="W27" s="2">
        <f t="shared" si="19"/>
        <v>9.9854118486066026E-2</v>
      </c>
      <c r="X27" s="2">
        <f t="shared" si="20"/>
        <v>1.6532445654535776E-2</v>
      </c>
      <c r="Y27" s="2">
        <f t="shared" si="5"/>
        <v>6.0398879011993269</v>
      </c>
      <c r="Z27" s="5">
        <f t="shared" ref="Z27:Z36" si="25">(P27+(R27*N27/W27))/AA27</f>
        <v>0.20174100552939855</v>
      </c>
      <c r="AA27" s="5">
        <f t="shared" ref="AA27:AA36" si="26">L27*M27*N27</f>
        <v>197.61921534507681</v>
      </c>
      <c r="AB27" s="2">
        <f t="shared" si="21"/>
        <v>158.61921534507681</v>
      </c>
      <c r="AC27" s="2">
        <f t="shared" ref="AC27:AC36" si="27">M27*W27*W27</f>
        <v>9.9708449786293123</v>
      </c>
      <c r="AD27" s="2">
        <f t="shared" si="9"/>
        <v>1.2458718504889545</v>
      </c>
      <c r="AE27" s="12">
        <f t="shared" si="10"/>
        <v>0.1973492300933356</v>
      </c>
      <c r="AF27" s="2">
        <f t="shared" si="11"/>
        <v>5.0454835382371693E-2</v>
      </c>
      <c r="AG27" s="2">
        <f t="shared" si="12"/>
        <v>6.286025912395099E-2</v>
      </c>
      <c r="AH27" s="2">
        <f t="shared" si="22"/>
        <v>0.85047796976701295</v>
      </c>
      <c r="AI27" s="2">
        <f t="shared" si="13"/>
        <v>1.2186215224645127</v>
      </c>
      <c r="AJ27" s="2">
        <f t="shared" si="23"/>
        <v>1.3825277690599995</v>
      </c>
      <c r="AK27" s="2">
        <f t="shared" si="24"/>
        <v>0.67338325385391218</v>
      </c>
    </row>
    <row r="28" spans="1:37" x14ac:dyDescent="0.3">
      <c r="A28" s="2" t="s">
        <v>47</v>
      </c>
      <c r="B28" s="1" t="s">
        <v>33</v>
      </c>
      <c r="C28" s="2">
        <v>1.4</v>
      </c>
      <c r="D28" s="1">
        <f t="shared" si="14"/>
        <v>1.2514649491351946</v>
      </c>
      <c r="E28" s="1">
        <v>1.2238095238095199</v>
      </c>
      <c r="F28" s="1">
        <v>0.62756422999999995</v>
      </c>
      <c r="G28" s="1">
        <v>0.16732462877624099</v>
      </c>
      <c r="H28" s="1">
        <f t="shared" si="0"/>
        <v>1.5315547234654474</v>
      </c>
      <c r="I28" s="2">
        <f t="shared" si="15"/>
        <v>0.78537463717601752</v>
      </c>
      <c r="J28" s="1">
        <f t="shared" si="1"/>
        <v>0.20940090804052375</v>
      </c>
      <c r="K28" s="16"/>
      <c r="L28" s="1">
        <v>9.81</v>
      </c>
      <c r="M28" s="2">
        <v>1000</v>
      </c>
      <c r="N28" s="3">
        <f t="shared" si="2"/>
        <v>1.8985281417339239E-2</v>
      </c>
      <c r="O28" s="2">
        <f t="shared" si="3"/>
        <v>2.6579393984274932E-2</v>
      </c>
      <c r="P28" s="2">
        <v>32</v>
      </c>
      <c r="Q28" s="8">
        <v>1</v>
      </c>
      <c r="R28" s="2">
        <v>39</v>
      </c>
      <c r="S28" s="4">
        <f t="shared" si="16"/>
        <v>0.35714285714285721</v>
      </c>
      <c r="T28" s="2">
        <f t="shared" si="4"/>
        <v>1.0939676596181769</v>
      </c>
      <c r="U28" s="1">
        <f t="shared" si="17"/>
        <v>9.396765961817688E-2</v>
      </c>
      <c r="V28" s="2">
        <f t="shared" si="18"/>
        <v>0.78537463717601752</v>
      </c>
      <c r="W28" s="2">
        <f t="shared" si="19"/>
        <v>8.7359354896414956E-2</v>
      </c>
      <c r="X28" s="2">
        <f t="shared" si="20"/>
        <v>1.6208994032830666E-2</v>
      </c>
      <c r="Y28" s="2">
        <f t="shared" si="5"/>
        <v>5.3895605562857316</v>
      </c>
      <c r="Z28" s="5">
        <f t="shared" si="25"/>
        <v>0.21732396535952853</v>
      </c>
      <c r="AA28" s="5">
        <f t="shared" si="26"/>
        <v>186.24561070409794</v>
      </c>
      <c r="AB28" s="2">
        <f t="shared" si="21"/>
        <v>147.24561070409794</v>
      </c>
      <c r="AC28" s="2">
        <f t="shared" si="27"/>
        <v>7.6316568879177797</v>
      </c>
      <c r="AD28" s="2">
        <f t="shared" si="9"/>
        <v>1.2648635827819255</v>
      </c>
      <c r="AE28" s="12">
        <f t="shared" si="10"/>
        <v>0.20940090804052375</v>
      </c>
      <c r="AF28" s="2">
        <f t="shared" si="11"/>
        <v>4.0976304671376938E-2</v>
      </c>
      <c r="AG28" s="2">
        <f t="shared" si="12"/>
        <v>5.1829435535801584E-2</v>
      </c>
      <c r="AH28" s="2">
        <f t="shared" si="22"/>
        <v>0.85305519377511574</v>
      </c>
      <c r="AI28" s="2">
        <f t="shared" si="13"/>
        <v>1.1947796108730626</v>
      </c>
      <c r="AJ28" s="2">
        <f t="shared" si="23"/>
        <v>1.3741866876271869</v>
      </c>
      <c r="AK28" s="2">
        <f t="shared" si="24"/>
        <v>0.70052621919034408</v>
      </c>
    </row>
    <row r="29" spans="1:37" x14ac:dyDescent="0.3">
      <c r="A29" s="2" t="s">
        <v>47</v>
      </c>
      <c r="B29" s="1" t="s">
        <v>33</v>
      </c>
      <c r="C29" s="2">
        <v>1</v>
      </c>
      <c r="D29" s="1">
        <f t="shared" si="14"/>
        <v>1</v>
      </c>
      <c r="E29" s="1">
        <v>1.0999999999999901</v>
      </c>
      <c r="F29" s="1">
        <v>0.84494773519163702</v>
      </c>
      <c r="G29" s="1">
        <v>0.26161290322580599</v>
      </c>
      <c r="H29" s="1">
        <f t="shared" si="0"/>
        <v>1.0999999999999901</v>
      </c>
      <c r="I29" s="2">
        <f t="shared" si="15"/>
        <v>0.84494773519163702</v>
      </c>
      <c r="J29" s="1">
        <f t="shared" si="1"/>
        <v>0.26161290322580599</v>
      </c>
      <c r="K29" s="16"/>
      <c r="L29" s="1">
        <v>9.81</v>
      </c>
      <c r="M29" s="2">
        <v>1000</v>
      </c>
      <c r="N29" s="3">
        <f t="shared" si="2"/>
        <v>1.5196250334656904E-2</v>
      </c>
      <c r="O29" s="2">
        <f t="shared" si="3"/>
        <v>1.5196250334656904E-2</v>
      </c>
      <c r="P29" s="2">
        <v>32</v>
      </c>
      <c r="Q29" s="8">
        <v>1</v>
      </c>
      <c r="R29" s="2">
        <v>39</v>
      </c>
      <c r="S29" s="4">
        <f t="shared" si="16"/>
        <v>0.5</v>
      </c>
      <c r="T29" s="2">
        <f t="shared" si="4"/>
        <v>1.0999999999999901</v>
      </c>
      <c r="U29" s="1">
        <f t="shared" si="17"/>
        <v>9.9999999999990097E-2</v>
      </c>
      <c r="V29" s="2">
        <f t="shared" si="18"/>
        <v>0.84494773519163702</v>
      </c>
      <c r="W29" s="2">
        <f t="shared" si="19"/>
        <v>5.2272829208737659E-2</v>
      </c>
      <c r="X29" s="2">
        <f t="shared" si="20"/>
        <v>1.2025703872505551E-2</v>
      </c>
      <c r="Y29" s="2">
        <f t="shared" si="5"/>
        <v>4.3467583904381168</v>
      </c>
      <c r="Z29" s="5">
        <f t="shared" si="25"/>
        <v>0.29071030905893225</v>
      </c>
      <c r="AA29" s="5">
        <f t="shared" si="26"/>
        <v>149.07521578298423</v>
      </c>
      <c r="AB29" s="2">
        <f t="shared" si="21"/>
        <v>110.07521578298423</v>
      </c>
      <c r="AC29" s="2">
        <f t="shared" si="27"/>
        <v>2.7324486734858571</v>
      </c>
      <c r="AD29" s="2">
        <f t="shared" si="9"/>
        <v>1.3543031891655737</v>
      </c>
      <c r="AE29" s="12">
        <f t="shared" si="10"/>
        <v>0.26161290322580599</v>
      </c>
      <c r="AF29" s="2">
        <f t="shared" si="11"/>
        <v>1.8329328984259936E-2</v>
      </c>
      <c r="AG29" s="2">
        <f t="shared" si="12"/>
        <v>2.4823468698648217E-2</v>
      </c>
      <c r="AH29" s="2">
        <f t="shared" si="22"/>
        <v>0.9249903055530192</v>
      </c>
      <c r="AI29" s="2">
        <f t="shared" si="13"/>
        <v>1.2409957132337086</v>
      </c>
      <c r="AJ29" s="2">
        <f t="shared" si="23"/>
        <v>1.1687608020990168</v>
      </c>
      <c r="AK29" s="2">
        <f t="shared" si="24"/>
        <v>0.64932098285970052</v>
      </c>
    </row>
    <row r="30" spans="1:37" x14ac:dyDescent="0.3">
      <c r="A30" s="2" t="s">
        <v>47</v>
      </c>
      <c r="B30" s="1" t="s">
        <v>33</v>
      </c>
      <c r="C30" s="2">
        <v>1</v>
      </c>
      <c r="D30" s="1">
        <f t="shared" si="14"/>
        <v>1</v>
      </c>
      <c r="E30" s="1">
        <v>1.2309523809523799</v>
      </c>
      <c r="F30" s="1">
        <v>0.74041811846689898</v>
      </c>
      <c r="G30" s="1">
        <v>0.176199436763952</v>
      </c>
      <c r="H30" s="1">
        <f t="shared" si="0"/>
        <v>1.2309523809523799</v>
      </c>
      <c r="I30" s="2">
        <f t="shared" si="15"/>
        <v>0.74041811846689898</v>
      </c>
      <c r="J30" s="1">
        <f t="shared" si="1"/>
        <v>0.176199436763952</v>
      </c>
      <c r="K30" s="16"/>
      <c r="L30" s="1">
        <v>9.81</v>
      </c>
      <c r="M30" s="2">
        <v>1000</v>
      </c>
      <c r="N30" s="3">
        <f t="shared" si="2"/>
        <v>2.2562700773678404E-2</v>
      </c>
      <c r="O30" s="2">
        <f t="shared" si="3"/>
        <v>2.2562700773678404E-2</v>
      </c>
      <c r="P30" s="2">
        <v>32</v>
      </c>
      <c r="Q30" s="8">
        <v>1</v>
      </c>
      <c r="R30" s="2">
        <v>39</v>
      </c>
      <c r="S30" s="4">
        <f t="shared" si="16"/>
        <v>0.5</v>
      </c>
      <c r="T30" s="2">
        <f t="shared" si="4"/>
        <v>1.2309523809523799</v>
      </c>
      <c r="U30" s="1">
        <f t="shared" si="17"/>
        <v>0.23095238095237991</v>
      </c>
      <c r="V30" s="2">
        <f t="shared" si="18"/>
        <v>0.74041811846689898</v>
      </c>
      <c r="W30" s="2">
        <f t="shared" si="19"/>
        <v>0.12856515603979807</v>
      </c>
      <c r="X30" s="2">
        <f t="shared" si="20"/>
        <v>1.3719197878759828E-2</v>
      </c>
      <c r="Y30" s="2">
        <f t="shared" si="5"/>
        <v>9.3711860690371456</v>
      </c>
      <c r="Z30" s="5">
        <f t="shared" si="25"/>
        <v>0.17549623450613624</v>
      </c>
      <c r="AA30" s="5">
        <f t="shared" si="26"/>
        <v>221.34009458978514</v>
      </c>
      <c r="AB30" s="2">
        <f t="shared" si="21"/>
        <v>182.34009458978511</v>
      </c>
      <c r="AC30" s="2">
        <f t="shared" si="27"/>
        <v>16.528999347537624</v>
      </c>
      <c r="AD30" s="2">
        <f t="shared" si="9"/>
        <v>1.2138860358043537</v>
      </c>
      <c r="AE30" s="12">
        <f t="shared" si="10"/>
        <v>0.176199436763952</v>
      </c>
      <c r="AF30" s="2">
        <f t="shared" si="11"/>
        <v>7.4676932700201523E-2</v>
      </c>
      <c r="AG30" s="2">
        <f t="shared" si="12"/>
        <v>9.0649285801476145E-2</v>
      </c>
      <c r="AH30" s="2">
        <f t="shared" si="22"/>
        <v>0.90496041781755776</v>
      </c>
      <c r="AI30" s="2">
        <f t="shared" si="13"/>
        <v>1.4157562781394752</v>
      </c>
      <c r="AJ30" s="2">
        <f t="shared" si="23"/>
        <v>1.2210707611800664</v>
      </c>
      <c r="AK30" s="2">
        <f t="shared" si="24"/>
        <v>0.49891091760640904</v>
      </c>
    </row>
    <row r="31" spans="1:37" x14ac:dyDescent="0.3">
      <c r="A31" s="2" t="s">
        <v>47</v>
      </c>
      <c r="B31" s="1" t="s">
        <v>33</v>
      </c>
      <c r="C31" s="2">
        <v>1</v>
      </c>
      <c r="D31" s="1">
        <f t="shared" si="14"/>
        <v>1</v>
      </c>
      <c r="E31" s="1">
        <v>1.5499999999999901</v>
      </c>
      <c r="F31" s="1">
        <v>0.54</v>
      </c>
      <c r="G31" s="1">
        <v>7.7177419354838697E-2</v>
      </c>
      <c r="H31" s="1">
        <f t="shared" si="0"/>
        <v>1.5499999999999901</v>
      </c>
      <c r="I31" s="2">
        <f t="shared" si="15"/>
        <v>0.54</v>
      </c>
      <c r="J31" s="1">
        <f t="shared" si="1"/>
        <v>7.7177419354838697E-2</v>
      </c>
      <c r="K31" s="16"/>
      <c r="L31" s="1">
        <v>9.81</v>
      </c>
      <c r="M31" s="2">
        <v>1000</v>
      </c>
      <c r="N31" s="3">
        <f t="shared" si="2"/>
        <v>5.1511636453110674E-2</v>
      </c>
      <c r="O31" s="2">
        <f t="shared" si="3"/>
        <v>5.1511636453110674E-2</v>
      </c>
      <c r="P31" s="2">
        <v>32</v>
      </c>
      <c r="Q31" s="8">
        <v>1</v>
      </c>
      <c r="R31" s="2">
        <v>39</v>
      </c>
      <c r="S31" s="4">
        <f t="shared" si="16"/>
        <v>0.5</v>
      </c>
      <c r="T31" s="2">
        <f t="shared" si="4"/>
        <v>1.5499999999999903</v>
      </c>
      <c r="U31" s="1">
        <f t="shared" si="17"/>
        <v>0.54999999999999027</v>
      </c>
      <c r="V31" s="2">
        <f t="shared" si="18"/>
        <v>0.54</v>
      </c>
      <c r="W31" s="2">
        <f t="shared" si="19"/>
        <v>0.75066805712463669</v>
      </c>
      <c r="X31" s="2">
        <f t="shared" si="20"/>
        <v>1.8064813179408855E-2</v>
      </c>
      <c r="Y31" s="2">
        <f t="shared" si="5"/>
        <v>41.554155565820317</v>
      </c>
      <c r="Z31" s="5">
        <f t="shared" si="25"/>
        <v>6.8621058221687417E-2</v>
      </c>
      <c r="AA31" s="5">
        <f t="shared" si="26"/>
        <v>505.32915360501573</v>
      </c>
      <c r="AB31" s="2">
        <f t="shared" si="21"/>
        <v>466.32915360501573</v>
      </c>
      <c r="AC31" s="2">
        <f t="shared" si="27"/>
        <v>563.50253198727683</v>
      </c>
      <c r="AD31" s="2">
        <f t="shared" si="9"/>
        <v>1.0836319147076816</v>
      </c>
      <c r="AE31" s="12">
        <f t="shared" si="10"/>
        <v>7.7177419354838697E-2</v>
      </c>
      <c r="AF31" s="2">
        <f t="shared" si="11"/>
        <v>1.1151197748383455</v>
      </c>
      <c r="AG31" s="2">
        <f t="shared" si="12"/>
        <v>1.208379376736475</v>
      </c>
      <c r="AH31" s="2">
        <f t="shared" si="22"/>
        <v>0.88464771138352594</v>
      </c>
      <c r="AI31" s="2">
        <f t="shared" si="13"/>
        <v>1.864203206206452</v>
      </c>
      <c r="AJ31" s="2">
        <f t="shared" si="23"/>
        <v>1.2777894067339743</v>
      </c>
      <c r="AK31" s="2">
        <f t="shared" si="24"/>
        <v>0.28774878521606034</v>
      </c>
    </row>
    <row r="32" spans="1:37" x14ac:dyDescent="0.3">
      <c r="A32" s="2" t="s">
        <v>47</v>
      </c>
      <c r="B32" s="1" t="s">
        <v>33</v>
      </c>
      <c r="C32" s="2">
        <v>1</v>
      </c>
      <c r="D32" s="1">
        <f t="shared" si="14"/>
        <v>1</v>
      </c>
      <c r="E32" s="1">
        <v>1.5904761904761899</v>
      </c>
      <c r="F32" s="1">
        <v>0.55000000000000004</v>
      </c>
      <c r="G32" s="1">
        <v>8.2037890424987103E-2</v>
      </c>
      <c r="H32" s="1">
        <f t="shared" si="0"/>
        <v>1.5904761904761899</v>
      </c>
      <c r="I32" s="2">
        <f t="shared" si="15"/>
        <v>0.55000000000000004</v>
      </c>
      <c r="J32" s="1">
        <f t="shared" si="1"/>
        <v>8.2037890424987103E-2</v>
      </c>
      <c r="K32" s="16"/>
      <c r="L32" s="1">
        <v>9.81</v>
      </c>
      <c r="M32" s="2">
        <v>1000</v>
      </c>
      <c r="N32" s="3">
        <f t="shared" si="2"/>
        <v>4.8459743998790709E-2</v>
      </c>
      <c r="O32" s="2">
        <f t="shared" si="3"/>
        <v>4.8459743998790709E-2</v>
      </c>
      <c r="P32" s="2">
        <v>32</v>
      </c>
      <c r="Q32" s="8">
        <v>1</v>
      </c>
      <c r="R32" s="2">
        <v>39</v>
      </c>
      <c r="S32" s="4">
        <f t="shared" si="16"/>
        <v>0.5</v>
      </c>
      <c r="T32" s="2">
        <f t="shared" si="4"/>
        <v>1.5904761904761899</v>
      </c>
      <c r="U32" s="1">
        <f t="shared" si="17"/>
        <v>0.59047619047618993</v>
      </c>
      <c r="V32" s="2">
        <f t="shared" si="18"/>
        <v>0.55000000000000004</v>
      </c>
      <c r="W32" s="2">
        <f t="shared" si="19"/>
        <v>0.66085474932903443</v>
      </c>
      <c r="X32" s="2">
        <f t="shared" si="20"/>
        <v>1.7700766132271371E-2</v>
      </c>
      <c r="Y32" s="2">
        <f t="shared" si="5"/>
        <v>37.334810504285969</v>
      </c>
      <c r="Z32" s="5">
        <f t="shared" si="25"/>
        <v>7.3328888152792829E-2</v>
      </c>
      <c r="AA32" s="5">
        <f t="shared" si="26"/>
        <v>475.39008862813688</v>
      </c>
      <c r="AB32" s="2">
        <f t="shared" si="21"/>
        <v>436.39008862813688</v>
      </c>
      <c r="AC32" s="2">
        <f t="shared" si="27"/>
        <v>436.72899971074094</v>
      </c>
      <c r="AD32" s="2">
        <f t="shared" si="9"/>
        <v>1.0893695824362162</v>
      </c>
      <c r="AE32" s="12">
        <f t="shared" si="10"/>
        <v>8.2037890424987103E-2</v>
      </c>
      <c r="AF32" s="2">
        <f t="shared" si="11"/>
        <v>0.91867502112010224</v>
      </c>
      <c r="AG32" s="2">
        <f t="shared" si="12"/>
        <v>1.000776624152188</v>
      </c>
      <c r="AH32" s="2">
        <f t="shared" si="22"/>
        <v>0.88558254881550857</v>
      </c>
      <c r="AI32" s="2">
        <f t="shared" si="13"/>
        <v>1.8266352742414944</v>
      </c>
      <c r="AJ32" s="2">
        <f t="shared" si="23"/>
        <v>1.2750931140222672</v>
      </c>
      <c r="AK32" s="2">
        <f t="shared" si="24"/>
        <v>0.29970660894927997</v>
      </c>
    </row>
    <row r="33" spans="1:37" x14ac:dyDescent="0.3">
      <c r="A33" s="2" t="s">
        <v>47</v>
      </c>
      <c r="B33" s="1" t="s">
        <v>33</v>
      </c>
      <c r="C33" s="2">
        <v>1.5</v>
      </c>
      <c r="D33" s="1">
        <f t="shared" si="14"/>
        <v>1.3103706971044482</v>
      </c>
      <c r="E33" s="1">
        <v>1.4904761904761901</v>
      </c>
      <c r="F33" s="1">
        <v>0.5</v>
      </c>
      <c r="G33" s="1">
        <v>9.40809011776753E-2</v>
      </c>
      <c r="H33" s="1">
        <f t="shared" si="0"/>
        <v>1.9530763247318674</v>
      </c>
      <c r="I33" s="2">
        <f t="shared" si="15"/>
        <v>0.6551853485522241</v>
      </c>
      <c r="J33" s="1">
        <f t="shared" si="1"/>
        <v>0.12328085606040508</v>
      </c>
      <c r="K33" s="16"/>
      <c r="L33" s="1">
        <v>9.81</v>
      </c>
      <c r="M33" s="2">
        <v>1000</v>
      </c>
      <c r="N33" s="3">
        <f t="shared" si="2"/>
        <v>3.2247790088736794E-2</v>
      </c>
      <c r="O33" s="2">
        <f t="shared" si="3"/>
        <v>4.8371685133105191E-2</v>
      </c>
      <c r="P33" s="2">
        <v>32</v>
      </c>
      <c r="Q33" s="8">
        <v>1</v>
      </c>
      <c r="R33" s="2">
        <v>39</v>
      </c>
      <c r="S33" s="4">
        <f t="shared" si="16"/>
        <v>0.33333333333333331</v>
      </c>
      <c r="T33" s="2">
        <f t="shared" si="4"/>
        <v>1.3020508831545781</v>
      </c>
      <c r="U33" s="1">
        <f t="shared" si="17"/>
        <v>0.30205088315457806</v>
      </c>
      <c r="V33" s="2">
        <f t="shared" si="18"/>
        <v>0.6551853485522241</v>
      </c>
      <c r="W33" s="2">
        <f t="shared" si="19"/>
        <v>0.27949847028581876</v>
      </c>
      <c r="X33" s="2">
        <f t="shared" si="20"/>
        <v>2.0250038395971698E-2</v>
      </c>
      <c r="Y33" s="2">
        <f t="shared" si="5"/>
        <v>13.802367423728878</v>
      </c>
      <c r="Z33" s="5">
        <f t="shared" si="25"/>
        <v>0.11537734018994732</v>
      </c>
      <c r="AA33" s="5">
        <f t="shared" si="26"/>
        <v>316.35082077050794</v>
      </c>
      <c r="AB33" s="2">
        <f t="shared" si="21"/>
        <v>277.35082077050794</v>
      </c>
      <c r="AC33" s="2">
        <f t="shared" si="27"/>
        <v>78.119394892112709</v>
      </c>
      <c r="AD33" s="2">
        <f t="shared" si="9"/>
        <v>1.1406161333564984</v>
      </c>
      <c r="AE33" s="12">
        <f t="shared" si="10"/>
        <v>0.12328085606040509</v>
      </c>
      <c r="AF33" s="2">
        <f t="shared" si="11"/>
        <v>0.24693912505693569</v>
      </c>
      <c r="AG33" s="2">
        <f t="shared" si="12"/>
        <v>0.28166274999687879</v>
      </c>
      <c r="AH33" s="2">
        <f t="shared" si="22"/>
        <v>0.82414504351393547</v>
      </c>
      <c r="AI33" s="2">
        <f t="shared" si="13"/>
        <v>1.3931387361962373</v>
      </c>
      <c r="AJ33" s="2">
        <f t="shared" si="23"/>
        <v>1.4722877473832325</v>
      </c>
      <c r="AK33" s="2">
        <f t="shared" si="24"/>
        <v>0.51524200802754905</v>
      </c>
    </row>
    <row r="34" spans="1:37" x14ac:dyDescent="0.3">
      <c r="A34" s="2" t="s">
        <v>47</v>
      </c>
      <c r="B34" s="1" t="s">
        <v>33</v>
      </c>
      <c r="C34" s="2">
        <v>1.5</v>
      </c>
      <c r="D34" s="1">
        <f t="shared" si="14"/>
        <v>1.3103706971044482</v>
      </c>
      <c r="E34" s="1">
        <v>1.4833333333333301</v>
      </c>
      <c r="F34" s="1">
        <v>0.54236543420000005</v>
      </c>
      <c r="G34" s="1">
        <v>0.120689964157706</v>
      </c>
      <c r="H34" s="1">
        <f t="shared" si="0"/>
        <v>1.9437165340382605</v>
      </c>
      <c r="I34" s="2">
        <f t="shared" si="15"/>
        <v>0.71069977209801083</v>
      </c>
      <c r="J34" s="1">
        <f t="shared" si="1"/>
        <v>0.15814859246684407</v>
      </c>
      <c r="K34" s="16"/>
      <c r="L34" s="1">
        <v>9.81</v>
      </c>
      <c r="M34" s="2">
        <v>1000</v>
      </c>
      <c r="N34" s="3">
        <f t="shared" si="2"/>
        <v>2.5137973763688041E-2</v>
      </c>
      <c r="O34" s="2">
        <f t="shared" si="3"/>
        <v>3.7706960645532063E-2</v>
      </c>
      <c r="P34" s="2">
        <v>32</v>
      </c>
      <c r="Q34" s="8">
        <v>1</v>
      </c>
      <c r="R34" s="2">
        <v>39</v>
      </c>
      <c r="S34" s="4">
        <f t="shared" si="16"/>
        <v>0.33333333333333331</v>
      </c>
      <c r="T34" s="2">
        <f t="shared" si="4"/>
        <v>1.2958110226921735</v>
      </c>
      <c r="U34" s="1">
        <f t="shared" si="17"/>
        <v>0.29581102269217352</v>
      </c>
      <c r="V34" s="2">
        <f t="shared" si="18"/>
        <v>0.71069977209801083</v>
      </c>
      <c r="W34" s="2">
        <f t="shared" si="19"/>
        <v>0.16308537202860982</v>
      </c>
      <c r="X34" s="2">
        <f t="shared" si="20"/>
        <v>1.8636711737202185E-2</v>
      </c>
      <c r="Y34" s="2">
        <f t="shared" si="5"/>
        <v>8.7507589497702245</v>
      </c>
      <c r="Z34" s="5">
        <f t="shared" si="25"/>
        <v>0.15413996639305041</v>
      </c>
      <c r="AA34" s="5">
        <f t="shared" si="26"/>
        <v>246.60352262177969</v>
      </c>
      <c r="AB34" s="2">
        <f t="shared" si="21"/>
        <v>207.60352262177966</v>
      </c>
      <c r="AC34" s="2">
        <f t="shared" si="27"/>
        <v>26.596838569710069</v>
      </c>
      <c r="AD34" s="2">
        <f t="shared" si="9"/>
        <v>1.1878580840415303</v>
      </c>
      <c r="AE34" s="12">
        <f t="shared" si="10"/>
        <v>0.15814859246684407</v>
      </c>
      <c r="AF34" s="2">
        <f t="shared" si="11"/>
        <v>0.10785263035557738</v>
      </c>
      <c r="AG34" s="2">
        <f t="shared" si="12"/>
        <v>0.12811361885301553</v>
      </c>
      <c r="AH34" s="2">
        <f t="shared" si="22"/>
        <v>0.83086154830265357</v>
      </c>
      <c r="AI34" s="2">
        <f t="shared" si="13"/>
        <v>1.2821469534390773</v>
      </c>
      <c r="AJ34" s="2">
        <f t="shared" si="23"/>
        <v>1.4485806472928244</v>
      </c>
      <c r="AK34" s="2">
        <f t="shared" si="24"/>
        <v>0.60830920806612698</v>
      </c>
    </row>
    <row r="35" spans="1:37" x14ac:dyDescent="0.3">
      <c r="A35" s="2" t="s">
        <v>47</v>
      </c>
      <c r="B35" s="1" t="s">
        <v>33</v>
      </c>
      <c r="C35" s="2">
        <v>0.25</v>
      </c>
      <c r="D35" s="1">
        <f t="shared" si="14"/>
        <v>0.3968502629920499</v>
      </c>
      <c r="E35" s="1">
        <v>1.7380952380952299</v>
      </c>
      <c r="F35" s="1">
        <v>0.56329849012775801</v>
      </c>
      <c r="G35" s="1">
        <v>5.7923707117255502E-2</v>
      </c>
      <c r="H35" s="1">
        <f t="shared" si="0"/>
        <v>0.68976355234332154</v>
      </c>
      <c r="I35" s="2">
        <f t="shared" si="15"/>
        <v>0.22354515395022539</v>
      </c>
      <c r="J35" s="1">
        <f t="shared" si="1"/>
        <v>2.2987038402957318E-2</v>
      </c>
      <c r="K35" s="16"/>
      <c r="L35" s="1">
        <v>9.81</v>
      </c>
      <c r="M35" s="2">
        <v>1000</v>
      </c>
      <c r="N35" s="3">
        <f t="shared" si="2"/>
        <v>0.17294681892053826</v>
      </c>
      <c r="O35" s="2">
        <f t="shared" si="3"/>
        <v>4.3236704730134565E-2</v>
      </c>
      <c r="P35" s="2">
        <v>32</v>
      </c>
      <c r="Q35" s="8">
        <v>1</v>
      </c>
      <c r="R35" s="2">
        <v>39</v>
      </c>
      <c r="S35" s="4">
        <f t="shared" si="16"/>
        <v>2</v>
      </c>
      <c r="T35" s="2">
        <f t="shared" si="4"/>
        <v>2.7590542093732862</v>
      </c>
      <c r="U35" s="1">
        <f t="shared" si="17"/>
        <v>1.7590542093732862</v>
      </c>
      <c r="V35" s="2">
        <f t="shared" si="18"/>
        <v>0.22354515395022539</v>
      </c>
      <c r="W35" s="2">
        <f t="shared" si="19"/>
        <v>8.958690043632318</v>
      </c>
      <c r="X35" s="2">
        <f t="shared" si="20"/>
        <v>1.0734847786429419E-2</v>
      </c>
      <c r="Y35" s="2">
        <f t="shared" si="5"/>
        <v>834.54281065424595</v>
      </c>
      <c r="Z35" s="5">
        <f t="shared" si="25"/>
        <v>1.930492271506434E-2</v>
      </c>
      <c r="AA35" s="5">
        <f t="shared" si="26"/>
        <v>1696.6082936104804</v>
      </c>
      <c r="AB35" s="2">
        <f t="shared" si="21"/>
        <v>1657.6082936104804</v>
      </c>
      <c r="AC35" s="2">
        <f t="shared" si="27"/>
        <v>80258.127297876825</v>
      </c>
      <c r="AD35" s="2">
        <f t="shared" si="9"/>
        <v>1.0235278745589846</v>
      </c>
      <c r="AE35" s="12">
        <f t="shared" si="10"/>
        <v>2.2987038402957318E-2</v>
      </c>
      <c r="AF35" s="2">
        <f t="shared" si="11"/>
        <v>47.305042419121328</v>
      </c>
      <c r="AG35" s="2">
        <f t="shared" si="12"/>
        <v>48.418029523165863</v>
      </c>
      <c r="AH35" s="2">
        <f t="shared" si="22"/>
        <v>1.1540534776973657</v>
      </c>
      <c r="AI35" s="2">
        <f t="shared" si="13"/>
        <v>4.4311419028480223</v>
      </c>
      <c r="AJ35" s="2">
        <f t="shared" si="23"/>
        <v>0.75084126354592085</v>
      </c>
      <c r="AK35" s="2">
        <f t="shared" si="24"/>
        <v>5.0929414544860455E-2</v>
      </c>
    </row>
    <row r="36" spans="1:37" x14ac:dyDescent="0.3">
      <c r="A36" s="2" t="s">
        <v>47</v>
      </c>
      <c r="B36" s="1" t="s">
        <v>33</v>
      </c>
      <c r="C36" s="2">
        <v>0.25</v>
      </c>
      <c r="D36" s="1">
        <f t="shared" si="14"/>
        <v>0.3968502629920499</v>
      </c>
      <c r="E36" s="1">
        <v>1.6214285714285701</v>
      </c>
      <c r="F36" s="1">
        <v>0.67944250871080103</v>
      </c>
      <c r="G36" s="1">
        <v>7.8828725038402395E-2</v>
      </c>
      <c r="H36" s="1">
        <f t="shared" si="0"/>
        <v>0.64346435499425181</v>
      </c>
      <c r="I36" s="2">
        <f t="shared" si="15"/>
        <v>0.26963693826985952</v>
      </c>
      <c r="J36" s="1">
        <f t="shared" si="1"/>
        <v>3.128320026281798E-2</v>
      </c>
      <c r="K36" s="16"/>
      <c r="L36" s="1">
        <v>9.81</v>
      </c>
      <c r="M36" s="2">
        <v>1000</v>
      </c>
      <c r="N36" s="3">
        <f t="shared" si="2"/>
        <v>0.12708211227739663</v>
      </c>
      <c r="O36" s="2">
        <f t="shared" si="3"/>
        <v>3.1770528069349158E-2</v>
      </c>
      <c r="P36" s="2">
        <v>32</v>
      </c>
      <c r="Q36" s="8">
        <v>1</v>
      </c>
      <c r="R36" s="2">
        <v>39</v>
      </c>
      <c r="S36" s="4">
        <f t="shared" si="16"/>
        <v>2</v>
      </c>
      <c r="T36" s="2">
        <f t="shared" si="4"/>
        <v>2.5738574199770072</v>
      </c>
      <c r="U36" s="1">
        <f t="shared" si="17"/>
        <v>1.5738574199770072</v>
      </c>
      <c r="V36" s="2">
        <f t="shared" si="18"/>
        <v>0.26963693826985952</v>
      </c>
      <c r="W36" s="2">
        <f t="shared" si="19"/>
        <v>4.7960611315769333</v>
      </c>
      <c r="X36" s="2">
        <f t="shared" si="20"/>
        <v>9.6869376919317546E-3</v>
      </c>
      <c r="Y36" s="2">
        <f t="shared" si="5"/>
        <v>495.10601638034382</v>
      </c>
      <c r="Z36" s="5">
        <f t="shared" si="25"/>
        <v>2.6497183582731426E-2</v>
      </c>
      <c r="AA36" s="5">
        <f t="shared" si="26"/>
        <v>1246.675521441261</v>
      </c>
      <c r="AB36" s="2">
        <f t="shared" si="21"/>
        <v>1207.675521441261</v>
      </c>
      <c r="AC36" s="2">
        <f t="shared" si="27"/>
        <v>23002.20237782301</v>
      </c>
      <c r="AD36" s="2">
        <f t="shared" si="9"/>
        <v>1.0322934424914538</v>
      </c>
      <c r="AE36" s="12">
        <f t="shared" si="10"/>
        <v>3.128320026281798E-2</v>
      </c>
      <c r="AF36" s="2">
        <f t="shared" si="11"/>
        <v>18.450833422341159</v>
      </c>
      <c r="AG36" s="2">
        <f t="shared" si="12"/>
        <v>19.046674350384929</v>
      </c>
      <c r="AH36" s="2">
        <f t="shared" si="22"/>
        <v>1.1560234206700679</v>
      </c>
      <c r="AI36" s="2">
        <f t="shared" si="13"/>
        <v>3.9985844579240148</v>
      </c>
      <c r="AJ36" s="2">
        <f t="shared" si="23"/>
        <v>0.74828447414493982</v>
      </c>
      <c r="AK36" s="2">
        <f t="shared" si="24"/>
        <v>6.2544259182514245E-2</v>
      </c>
    </row>
    <row r="37" spans="1:37" x14ac:dyDescent="0.3">
      <c r="A37" s="2" t="s">
        <v>47</v>
      </c>
      <c r="B37" s="1" t="s">
        <v>33</v>
      </c>
      <c r="C37" s="2">
        <v>0.25</v>
      </c>
      <c r="D37" s="1">
        <f t="shared" si="14"/>
        <v>0.3968502629920499</v>
      </c>
      <c r="E37" s="1">
        <v>1.38095238095238</v>
      </c>
      <c r="F37" s="1">
        <v>0.66782810685249705</v>
      </c>
      <c r="G37" s="1">
        <v>9.9667178699436698E-2</v>
      </c>
      <c r="H37" s="1">
        <f t="shared" si="0"/>
        <v>0.54803131556044948</v>
      </c>
      <c r="I37" s="2">
        <f t="shared" si="15"/>
        <v>0.26502775983789623</v>
      </c>
      <c r="J37" s="1">
        <f t="shared" si="1"/>
        <v>3.9552946078547084E-2</v>
      </c>
      <c r="L37" s="1">
        <v>9.81</v>
      </c>
      <c r="M37" s="2">
        <v>1000</v>
      </c>
      <c r="N37" s="3">
        <f t="shared" si="2"/>
        <v>0.10051173331819115</v>
      </c>
      <c r="O37" s="2">
        <f t="shared" si="3"/>
        <v>2.5127933329547786E-2</v>
      </c>
      <c r="P37" s="2">
        <v>32</v>
      </c>
      <c r="Q37" s="8">
        <v>1</v>
      </c>
      <c r="R37" s="2">
        <v>39</v>
      </c>
      <c r="S37" s="4">
        <f t="shared" si="16"/>
        <v>2</v>
      </c>
      <c r="T37" s="2">
        <f t="shared" si="4"/>
        <v>2.1921252622417979</v>
      </c>
      <c r="U37" s="1">
        <f t="shared" si="17"/>
        <v>1.1921252622417979</v>
      </c>
      <c r="V37" s="2">
        <f t="shared" si="18"/>
        <v>0.26502775983789623</v>
      </c>
      <c r="W37" s="2">
        <f t="shared" ref="W37:W44" si="28">(((AA37-R37)*(N37^Q37))/(P37))^(1/Q37)</f>
        <v>2.9745822539150981</v>
      </c>
      <c r="X37" s="2">
        <f t="shared" ref="X37:X44" si="29">(((R37^(((2*Q37)+3)/3))*(N37^Q37)*(1/P37))/((AA37*S37)^(2*Q37/3)))^(1/Q37)</f>
        <v>8.958403479611441E-3</v>
      </c>
      <c r="Y37" s="2">
        <f t="shared" ref="Y37:Y44" si="30">W37/X37</f>
        <v>332.04379113811882</v>
      </c>
      <c r="Z37" s="5">
        <f t="shared" ref="Z37:Z44" si="31">(P37+(R37*N37/W37))/AA37</f>
        <v>3.3790201358829187E-2</v>
      </c>
      <c r="AA37" s="5">
        <f t="shared" ref="AA37:AA44" si="32">L37*M37*N37</f>
        <v>986.02010385145513</v>
      </c>
      <c r="AB37" s="2">
        <f t="shared" ref="AB37:AB44" si="33">P37*((W37/N37)^(Q37))</f>
        <v>947.02010385145513</v>
      </c>
      <c r="AC37" s="2">
        <f t="shared" ref="AC37:AC44" si="34">M37*W37*W37</f>
        <v>8848.139585306626</v>
      </c>
      <c r="AD37" s="2">
        <f t="shared" ref="AD37:AD44" si="35">AA37/AB37</f>
        <v>1.0411818079060731</v>
      </c>
      <c r="AE37" s="12">
        <f t="shared" ref="AE37:AE44" si="36">R37/AA37</f>
        <v>3.9552946078547084E-2</v>
      </c>
      <c r="AF37" s="2">
        <f t="shared" ref="AF37:AF44" si="37">AC37/AA37</f>
        <v>8.9735894336689981</v>
      </c>
      <c r="AG37" s="2">
        <f t="shared" ref="AG37:AG44" si="38">AC37/AB37</f>
        <v>9.3431380699543212</v>
      </c>
      <c r="AH37" s="2">
        <f t="shared" ref="AH37:AH44" si="39">(AD37*S37)^((1)/((2*Q37)+3))</f>
        <v>1.1580073432611493</v>
      </c>
      <c r="AI37" s="2">
        <f t="shared" ref="AI37:AI44" si="40">((1/AE37)*S37)^(1/3)</f>
        <v>3.6978593298088378</v>
      </c>
      <c r="AJ37" s="2">
        <f t="shared" si="23"/>
        <v>0.74572271698486547</v>
      </c>
      <c r="AK37" s="2">
        <f t="shared" si="24"/>
        <v>7.3130615338990623E-2</v>
      </c>
    </row>
    <row r="38" spans="1:37" x14ac:dyDescent="0.3">
      <c r="A38" s="2" t="s">
        <v>47</v>
      </c>
      <c r="B38" s="1" t="s">
        <v>33</v>
      </c>
      <c r="C38" s="2">
        <v>0.25</v>
      </c>
      <c r="D38" s="1">
        <f t="shared" si="14"/>
        <v>0.3968502629920499</v>
      </c>
      <c r="E38" s="1">
        <v>1.38095238095238</v>
      </c>
      <c r="F38" s="1">
        <v>0.80720092915214803</v>
      </c>
      <c r="G38" s="1">
        <v>0.119022017409114</v>
      </c>
      <c r="H38" s="1">
        <f t="shared" si="0"/>
        <v>0.54803131556044948</v>
      </c>
      <c r="I38" s="2">
        <f t="shared" si="15"/>
        <v>0.32033790102145698</v>
      </c>
      <c r="J38" s="1">
        <f t="shared" si="1"/>
        <v>4.7233918910651235E-2</v>
      </c>
      <c r="L38" s="1">
        <v>9.81</v>
      </c>
      <c r="M38" s="2">
        <v>1000</v>
      </c>
      <c r="N38" s="3">
        <f t="shared" si="2"/>
        <v>8.4166955863135814E-2</v>
      </c>
      <c r="O38" s="2">
        <f t="shared" si="3"/>
        <v>2.1041738965783954E-2</v>
      </c>
      <c r="P38" s="2">
        <v>32</v>
      </c>
      <c r="Q38" s="8">
        <v>1</v>
      </c>
      <c r="R38" s="2">
        <v>39</v>
      </c>
      <c r="S38" s="4">
        <f t="shared" si="16"/>
        <v>2</v>
      </c>
      <c r="T38" s="2">
        <f t="shared" si="4"/>
        <v>2.1921252622417979</v>
      </c>
      <c r="U38" s="1">
        <f t="shared" si="17"/>
        <v>1.1921252622417979</v>
      </c>
      <c r="V38" s="2">
        <f t="shared" si="18"/>
        <v>0.32033790102145698</v>
      </c>
      <c r="W38" s="2">
        <f t="shared" si="28"/>
        <v>2.0691337120858591</v>
      </c>
      <c r="X38" s="2">
        <f t="shared" si="29"/>
        <v>8.443818793860431E-3</v>
      </c>
      <c r="Y38" s="2">
        <f t="shared" si="30"/>
        <v>245.04714781306569</v>
      </c>
      <c r="Z38" s="5">
        <f t="shared" si="31"/>
        <v>4.0677388499116632E-2</v>
      </c>
      <c r="AA38" s="5">
        <f t="shared" si="32"/>
        <v>825.67783701736232</v>
      </c>
      <c r="AB38" s="2">
        <f t="shared" si="33"/>
        <v>786.67783701736244</v>
      </c>
      <c r="AC38" s="2">
        <f t="shared" si="34"/>
        <v>4281.3143184902065</v>
      </c>
      <c r="AD38" s="2">
        <f t="shared" si="35"/>
        <v>1.0495755672332983</v>
      </c>
      <c r="AE38" s="12">
        <f t="shared" si="36"/>
        <v>4.7233918910651235E-2</v>
      </c>
      <c r="AF38" s="2">
        <f t="shared" si="37"/>
        <v>5.185211624373756</v>
      </c>
      <c r="AG38" s="2">
        <f t="shared" si="38"/>
        <v>5.4422714318767769</v>
      </c>
      <c r="AH38" s="2">
        <f t="shared" si="39"/>
        <v>1.1598684671085617</v>
      </c>
      <c r="AI38" s="2">
        <f t="shared" si="40"/>
        <v>3.4854485151461718</v>
      </c>
      <c r="AJ38" s="2">
        <f t="shared" si="23"/>
        <v>0.74333146509014891</v>
      </c>
      <c r="AK38" s="2">
        <f t="shared" si="24"/>
        <v>8.2315696265832045E-2</v>
      </c>
    </row>
    <row r="39" spans="1:37" x14ac:dyDescent="0.3">
      <c r="A39" s="2" t="s">
        <v>47</v>
      </c>
      <c r="B39" s="1" t="s">
        <v>33</v>
      </c>
      <c r="C39" s="2">
        <v>0.25</v>
      </c>
      <c r="D39" s="1">
        <f t="shared" si="14"/>
        <v>0.3968502629920499</v>
      </c>
      <c r="E39" s="1">
        <v>1.3928571428571399</v>
      </c>
      <c r="F39" s="1">
        <v>0.89721254355400704</v>
      </c>
      <c r="G39" s="1">
        <v>0.136770353302611</v>
      </c>
      <c r="H39" s="1">
        <f t="shared" si="0"/>
        <v>0.55275572345321122</v>
      </c>
      <c r="I39" s="2">
        <f t="shared" si="15"/>
        <v>0.3560590338691737</v>
      </c>
      <c r="J39" s="1">
        <f t="shared" si="1"/>
        <v>5.4277350677656759E-2</v>
      </c>
      <c r="L39" s="1">
        <v>9.81</v>
      </c>
      <c r="M39" s="2">
        <v>1000</v>
      </c>
      <c r="N39" s="3">
        <f t="shared" si="2"/>
        <v>7.3244827143566629E-2</v>
      </c>
      <c r="O39" s="2">
        <f t="shared" si="3"/>
        <v>1.8311206785891657E-2</v>
      </c>
      <c r="P39" s="2">
        <v>32</v>
      </c>
      <c r="Q39" s="8">
        <v>1</v>
      </c>
      <c r="R39" s="2">
        <v>39</v>
      </c>
      <c r="S39" s="4">
        <f t="shared" si="16"/>
        <v>2</v>
      </c>
      <c r="T39" s="2">
        <f t="shared" si="4"/>
        <v>2.2110228938128449</v>
      </c>
      <c r="U39" s="1">
        <f t="shared" si="17"/>
        <v>1.2110228938128449</v>
      </c>
      <c r="V39" s="2">
        <f t="shared" si="18"/>
        <v>0.3560590338691737</v>
      </c>
      <c r="W39" s="2">
        <f t="shared" si="28"/>
        <v>1.5553808087714116</v>
      </c>
      <c r="X39" s="2">
        <f t="shared" si="29"/>
        <v>8.0615277045013919E-3</v>
      </c>
      <c r="Y39" s="2">
        <f t="shared" si="30"/>
        <v>192.93871655404953</v>
      </c>
      <c r="Z39" s="5">
        <f t="shared" si="31"/>
        <v>4.709125040665918E-2</v>
      </c>
      <c r="AA39" s="5">
        <f t="shared" si="32"/>
        <v>718.53175427838869</v>
      </c>
      <c r="AB39" s="2">
        <f t="shared" si="33"/>
        <v>679.53175427838869</v>
      </c>
      <c r="AC39" s="2">
        <f t="shared" si="34"/>
        <v>2419.2094602944107</v>
      </c>
      <c r="AD39" s="2">
        <f t="shared" si="35"/>
        <v>1.0573924614331158</v>
      </c>
      <c r="AE39" s="12">
        <f t="shared" si="36"/>
        <v>5.4277350677656759E-2</v>
      </c>
      <c r="AF39" s="2">
        <f t="shared" si="37"/>
        <v>3.3668789804898585</v>
      </c>
      <c r="AG39" s="2">
        <f t="shared" si="38"/>
        <v>3.5601124525275911</v>
      </c>
      <c r="AH39" s="2">
        <f t="shared" si="39"/>
        <v>1.161591007059837</v>
      </c>
      <c r="AI39" s="2">
        <f t="shared" si="40"/>
        <v>3.3276459921066079</v>
      </c>
      <c r="AJ39" s="2">
        <f t="shared" si="23"/>
        <v>0.74112850593727597</v>
      </c>
      <c r="AK39" s="2">
        <f t="shared" si="24"/>
        <v>9.0307904222334714E-2</v>
      </c>
    </row>
    <row r="40" spans="1:37" x14ac:dyDescent="0.3">
      <c r="A40" s="2" t="s">
        <v>47</v>
      </c>
      <c r="B40" s="1" t="s">
        <v>33</v>
      </c>
      <c r="C40" s="2">
        <v>0.25</v>
      </c>
      <c r="D40" s="1">
        <f t="shared" si="14"/>
        <v>0.3968502629920499</v>
      </c>
      <c r="E40" s="1">
        <v>1.34523809523809</v>
      </c>
      <c r="F40" s="1">
        <v>0.96980255516840796</v>
      </c>
      <c r="G40" s="1">
        <v>0.163357654889912</v>
      </c>
      <c r="H40" s="1">
        <f t="shared" si="0"/>
        <v>0.53385809188216027</v>
      </c>
      <c r="I40" s="2">
        <f t="shared" si="15"/>
        <v>0.38486639906894465</v>
      </c>
      <c r="J40" s="1">
        <f t="shared" si="1"/>
        <v>6.4828528304826105E-2</v>
      </c>
      <c r="K40" s="16"/>
      <c r="L40" s="1">
        <v>9.81</v>
      </c>
      <c r="M40" s="2">
        <v>1000</v>
      </c>
      <c r="N40" s="3">
        <f t="shared" si="2"/>
        <v>6.1323853435367337E-2</v>
      </c>
      <c r="O40" s="2">
        <f t="shared" si="3"/>
        <v>1.5330963358841834E-2</v>
      </c>
      <c r="P40" s="2">
        <v>32</v>
      </c>
      <c r="Q40" s="8">
        <v>1</v>
      </c>
      <c r="R40" s="2">
        <v>39</v>
      </c>
      <c r="S40" s="4">
        <f t="shared" si="16"/>
        <v>2</v>
      </c>
      <c r="T40" s="2">
        <f t="shared" si="4"/>
        <v>2.1354323675286411</v>
      </c>
      <c r="U40" s="1">
        <f t="shared" si="17"/>
        <v>1.1354323675286411</v>
      </c>
      <c r="V40" s="2">
        <f t="shared" si="18"/>
        <v>0.38486639906894465</v>
      </c>
      <c r="W40" s="2">
        <f t="shared" si="28"/>
        <v>1.0781250896129362</v>
      </c>
      <c r="X40" s="2">
        <f t="shared" si="29"/>
        <v>7.59803885910599E-3</v>
      </c>
      <c r="Y40" s="2">
        <f t="shared" si="30"/>
        <v>141.89517974376244</v>
      </c>
      <c r="Z40" s="5">
        <f t="shared" si="31"/>
        <v>5.6880091212220624E-2</v>
      </c>
      <c r="AA40" s="5">
        <f t="shared" si="32"/>
        <v>601.58700220095352</v>
      </c>
      <c r="AB40" s="2">
        <f t="shared" si="33"/>
        <v>562.58700220095352</v>
      </c>
      <c r="AC40" s="2">
        <f t="shared" si="34"/>
        <v>1162.3537088529015</v>
      </c>
      <c r="AD40" s="2">
        <f t="shared" si="35"/>
        <v>1.0693226111648939</v>
      </c>
      <c r="AE40" s="12">
        <f t="shared" si="36"/>
        <v>6.4828528304826105E-2</v>
      </c>
      <c r="AF40" s="2">
        <f t="shared" si="37"/>
        <v>1.9321456490920494</v>
      </c>
      <c r="AG40" s="2">
        <f t="shared" si="38"/>
        <v>2.0660870306379993</v>
      </c>
      <c r="AH40" s="2">
        <f t="shared" si="39"/>
        <v>1.1642004134314397</v>
      </c>
      <c r="AI40" s="2">
        <f t="shared" si="40"/>
        <v>3.1363265728475365</v>
      </c>
      <c r="AJ40" s="2">
        <f t="shared" si="23"/>
        <v>0.73780993961074059</v>
      </c>
      <c r="AK40" s="2">
        <f t="shared" si="24"/>
        <v>0.10166171800051239</v>
      </c>
    </row>
    <row r="41" spans="1:37" x14ac:dyDescent="0.3">
      <c r="A41" s="2" t="s">
        <v>47</v>
      </c>
      <c r="B41" s="1" t="s">
        <v>33</v>
      </c>
      <c r="C41" s="2">
        <v>0.25</v>
      </c>
      <c r="D41" s="1">
        <f t="shared" si="14"/>
        <v>0.3968502629920499</v>
      </c>
      <c r="E41" s="1">
        <v>1.27857142857142</v>
      </c>
      <c r="F41" s="1">
        <v>1.07433217189314</v>
      </c>
      <c r="G41" s="1">
        <v>0.19316052227342501</v>
      </c>
      <c r="H41" s="1">
        <f t="shared" si="0"/>
        <v>0.50740140768268893</v>
      </c>
      <c r="I41" s="2">
        <f t="shared" si="15"/>
        <v>0.42634900495661276</v>
      </c>
      <c r="J41" s="1">
        <f t="shared" si="1"/>
        <v>7.6655804063890429E-2</v>
      </c>
      <c r="K41" s="16"/>
      <c r="L41" s="1">
        <v>9.81</v>
      </c>
      <c r="M41" s="2">
        <v>1000</v>
      </c>
      <c r="N41" s="3">
        <f t="shared" si="2"/>
        <v>5.1862154689320372E-2</v>
      </c>
      <c r="O41" s="2">
        <f t="shared" si="3"/>
        <v>1.2965538672330093E-2</v>
      </c>
      <c r="P41" s="2">
        <v>32</v>
      </c>
      <c r="Q41" s="8">
        <v>1</v>
      </c>
      <c r="R41" s="2">
        <v>39</v>
      </c>
      <c r="S41" s="4">
        <f t="shared" si="16"/>
        <v>2</v>
      </c>
      <c r="T41" s="2">
        <f t="shared" si="4"/>
        <v>2.0296056307307557</v>
      </c>
      <c r="U41" s="1">
        <f t="shared" si="17"/>
        <v>1.0296056307307557</v>
      </c>
      <c r="V41" s="2">
        <f t="shared" si="18"/>
        <v>0.42634900495661276</v>
      </c>
      <c r="W41" s="2">
        <f t="shared" si="28"/>
        <v>0.76134897094977649</v>
      </c>
      <c r="X41" s="2">
        <f t="shared" si="29"/>
        <v>7.1852500012095904E-3</v>
      </c>
      <c r="Y41" s="2">
        <f t="shared" si="30"/>
        <v>105.95998341346625</v>
      </c>
      <c r="Z41" s="5">
        <f t="shared" si="31"/>
        <v>6.8118769011564786E-2</v>
      </c>
      <c r="AA41" s="5">
        <f t="shared" si="32"/>
        <v>508.76773750223288</v>
      </c>
      <c r="AB41" s="2">
        <f t="shared" si="33"/>
        <v>469.76773750223288</v>
      </c>
      <c r="AC41" s="2">
        <f t="shared" si="34"/>
        <v>579.65225556628354</v>
      </c>
      <c r="AD41" s="2">
        <f t="shared" si="35"/>
        <v>1.0830197497328446</v>
      </c>
      <c r="AE41" s="12">
        <f t="shared" si="36"/>
        <v>7.6655804063890429E-2</v>
      </c>
      <c r="AF41" s="2">
        <f t="shared" si="37"/>
        <v>1.1393258904584915</v>
      </c>
      <c r="AG41" s="2">
        <f t="shared" si="38"/>
        <v>1.2339124407485058</v>
      </c>
      <c r="AH41" s="2">
        <f t="shared" si="39"/>
        <v>1.1671677375004721</v>
      </c>
      <c r="AI41" s="2">
        <f t="shared" si="40"/>
        <v>2.9659351484282883</v>
      </c>
      <c r="AJ41" s="2">
        <f t="shared" si="23"/>
        <v>0.73406319758755834</v>
      </c>
      <c r="AK41" s="2">
        <f t="shared" si="24"/>
        <v>0.11367807180206237</v>
      </c>
    </row>
    <row r="42" spans="1:37" x14ac:dyDescent="0.3">
      <c r="A42" s="2" t="s">
        <v>47</v>
      </c>
      <c r="B42" s="1" t="s">
        <v>33</v>
      </c>
      <c r="C42" s="2">
        <v>0.25</v>
      </c>
      <c r="D42" s="1">
        <f t="shared" si="14"/>
        <v>0.3968502629920499</v>
      </c>
      <c r="E42" s="1">
        <v>1.2</v>
      </c>
      <c r="F42" s="1">
        <v>1.12324</v>
      </c>
      <c r="G42" s="1">
        <v>0.241505376344086</v>
      </c>
      <c r="H42" s="1">
        <f t="shared" si="0"/>
        <v>0.47622031559045985</v>
      </c>
      <c r="I42" s="2">
        <f t="shared" si="15"/>
        <v>0.44575808940319012</v>
      </c>
      <c r="J42" s="1">
        <f t="shared" si="1"/>
        <v>9.5841472116144522E-2</v>
      </c>
      <c r="K42" s="16"/>
      <c r="L42" s="1">
        <v>9.81</v>
      </c>
      <c r="M42" s="2">
        <v>1000</v>
      </c>
      <c r="N42" s="3">
        <f t="shared" si="2"/>
        <v>4.1480322457672671E-2</v>
      </c>
      <c r="O42" s="2">
        <f t="shared" si="3"/>
        <v>1.0370080614418168E-2</v>
      </c>
      <c r="P42" s="2">
        <v>32</v>
      </c>
      <c r="Q42" s="8">
        <v>1</v>
      </c>
      <c r="R42" s="2">
        <v>39</v>
      </c>
      <c r="S42" s="4">
        <f t="shared" si="16"/>
        <v>2</v>
      </c>
      <c r="T42" s="2">
        <f t="shared" si="4"/>
        <v>1.9048812623618392</v>
      </c>
      <c r="U42" s="1">
        <f t="shared" si="17"/>
        <v>0.90488126236183919</v>
      </c>
      <c r="V42" s="2">
        <f t="shared" si="18"/>
        <v>0.44575808940319012</v>
      </c>
      <c r="W42" s="2">
        <f t="shared" si="28"/>
        <v>0.47692255241716336</v>
      </c>
      <c r="X42" s="2">
        <f t="shared" si="29"/>
        <v>6.6696913892055117E-3</v>
      </c>
      <c r="Y42" s="2">
        <f t="shared" si="30"/>
        <v>71.505940018309303</v>
      </c>
      <c r="Z42" s="5">
        <f t="shared" si="31"/>
        <v>8.697496532181162E-2</v>
      </c>
      <c r="AA42" s="5">
        <f t="shared" si="32"/>
        <v>406.9219633097689</v>
      </c>
      <c r="AB42" s="2">
        <f t="shared" si="33"/>
        <v>367.9219633097689</v>
      </c>
      <c r="AC42" s="2">
        <f t="shared" si="34"/>
        <v>227.45512100410193</v>
      </c>
      <c r="AD42" s="2">
        <f t="shared" si="35"/>
        <v>1.1060007389859579</v>
      </c>
      <c r="AE42" s="12">
        <f t="shared" si="36"/>
        <v>9.5841472116144522E-2</v>
      </c>
      <c r="AF42" s="2">
        <f t="shared" si="37"/>
        <v>0.55896496506125415</v>
      </c>
      <c r="AG42" s="2">
        <f t="shared" si="38"/>
        <v>0.61821566442500731</v>
      </c>
      <c r="AH42" s="2">
        <f t="shared" si="39"/>
        <v>1.1720795336918539</v>
      </c>
      <c r="AI42" s="2">
        <f t="shared" si="40"/>
        <v>2.7531223154495641</v>
      </c>
      <c r="AJ42" s="2">
        <f t="shared" si="23"/>
        <v>0.72792365868462561</v>
      </c>
      <c r="AK42" s="2">
        <f t="shared" si="24"/>
        <v>0.13193164781424735</v>
      </c>
    </row>
    <row r="43" spans="1:37" x14ac:dyDescent="0.3">
      <c r="A43" s="2" t="s">
        <v>47</v>
      </c>
      <c r="B43" s="1" t="s">
        <v>33</v>
      </c>
      <c r="C43" s="2">
        <v>0.25</v>
      </c>
      <c r="D43" s="1">
        <f t="shared" si="14"/>
        <v>0.3968502629920499</v>
      </c>
      <c r="E43" s="1">
        <v>1.08095238095238</v>
      </c>
      <c r="F43" s="1">
        <v>1.23403019744483</v>
      </c>
      <c r="G43" s="1">
        <v>0.276925243215565</v>
      </c>
      <c r="H43" s="1">
        <f t="shared" si="0"/>
        <v>0.42897623666283452</v>
      </c>
      <c r="I43" s="2">
        <f t="shared" si="15"/>
        <v>0.48972520839611206</v>
      </c>
      <c r="J43" s="1">
        <f t="shared" si="1"/>
        <v>0.10989785559923435</v>
      </c>
      <c r="K43" s="16"/>
      <c r="L43" s="1">
        <v>9.81</v>
      </c>
      <c r="M43" s="2">
        <v>1000</v>
      </c>
      <c r="N43" s="3">
        <f t="shared" si="2"/>
        <v>3.6174820213902475E-2</v>
      </c>
      <c r="O43" s="2">
        <f t="shared" si="3"/>
        <v>9.0437050534756189E-3</v>
      </c>
      <c r="P43" s="2">
        <v>32</v>
      </c>
      <c r="Q43" s="8">
        <v>1</v>
      </c>
      <c r="R43" s="2">
        <v>39</v>
      </c>
      <c r="S43" s="4">
        <f t="shared" si="16"/>
        <v>2</v>
      </c>
      <c r="T43" s="2">
        <f t="shared" si="4"/>
        <v>1.7159049466513381</v>
      </c>
      <c r="U43" s="1">
        <f t="shared" si="17"/>
        <v>0.71590494665133808</v>
      </c>
      <c r="V43" s="2">
        <f t="shared" si="18"/>
        <v>0.48972520839611206</v>
      </c>
      <c r="W43" s="2">
        <f t="shared" si="28"/>
        <v>0.35708502623165389</v>
      </c>
      <c r="X43" s="2">
        <f t="shared" si="29"/>
        <v>6.3722649541973677E-3</v>
      </c>
      <c r="Y43" s="2">
        <f t="shared" si="30"/>
        <v>56.03737898507255</v>
      </c>
      <c r="Z43" s="5">
        <f t="shared" si="31"/>
        <v>0.1013059007140629</v>
      </c>
      <c r="AA43" s="5">
        <f t="shared" si="32"/>
        <v>354.87498629838331</v>
      </c>
      <c r="AB43" s="2">
        <f t="shared" si="33"/>
        <v>315.87498629838331</v>
      </c>
      <c r="AC43" s="2">
        <f t="shared" si="34"/>
        <v>127.50971595886095</v>
      </c>
      <c r="AD43" s="2">
        <f t="shared" si="35"/>
        <v>1.1234665664952641</v>
      </c>
      <c r="AE43" s="12">
        <f t="shared" si="36"/>
        <v>0.10989785559923436</v>
      </c>
      <c r="AF43" s="2">
        <f t="shared" si="37"/>
        <v>0.35930882953708437</v>
      </c>
      <c r="AG43" s="2">
        <f t="shared" si="38"/>
        <v>0.40367145703146029</v>
      </c>
      <c r="AH43" s="2">
        <f t="shared" si="39"/>
        <v>1.1757582362038344</v>
      </c>
      <c r="AI43" s="2">
        <f t="shared" si="40"/>
        <v>2.6303503148213507</v>
      </c>
      <c r="AJ43" s="2">
        <f t="shared" si="23"/>
        <v>0.72337574169372554</v>
      </c>
      <c r="AK43" s="2">
        <f t="shared" si="24"/>
        <v>0.14453492953681876</v>
      </c>
    </row>
    <row r="44" spans="1:37" x14ac:dyDescent="0.3">
      <c r="A44" s="2" t="s">
        <v>47</v>
      </c>
      <c r="B44" s="1" t="s">
        <v>33</v>
      </c>
      <c r="C44" s="2">
        <v>0.25</v>
      </c>
      <c r="D44" s="1">
        <f t="shared" si="14"/>
        <v>0.3968502629920499</v>
      </c>
      <c r="E44" s="1">
        <v>1.0999999999999901</v>
      </c>
      <c r="F44" s="1">
        <v>1.23403019744483</v>
      </c>
      <c r="G44" s="1">
        <v>0.276935483870967</v>
      </c>
      <c r="H44" s="1">
        <f t="shared" si="0"/>
        <v>0.43653528929125096</v>
      </c>
      <c r="I44" s="2">
        <f t="shared" si="15"/>
        <v>0.48972520839611206</v>
      </c>
      <c r="J44" s="1">
        <f t="shared" si="1"/>
        <v>0.10990191960602384</v>
      </c>
      <c r="K44" s="16"/>
      <c r="L44" s="1">
        <v>9.81</v>
      </c>
      <c r="M44" s="2">
        <v>1000</v>
      </c>
      <c r="N44" s="3">
        <f t="shared" si="2"/>
        <v>3.6173482523755796E-2</v>
      </c>
      <c r="O44" s="2">
        <f t="shared" si="3"/>
        <v>9.0433706309389489E-3</v>
      </c>
      <c r="P44" s="2">
        <v>32</v>
      </c>
      <c r="Q44" s="8">
        <v>1</v>
      </c>
      <c r="R44" s="2">
        <v>39</v>
      </c>
      <c r="S44" s="4">
        <f t="shared" si="16"/>
        <v>2</v>
      </c>
      <c r="T44" s="2">
        <f t="shared" si="4"/>
        <v>1.7461411571650036</v>
      </c>
      <c r="U44" s="1">
        <f t="shared" si="17"/>
        <v>0.74614115716500362</v>
      </c>
      <c r="V44" s="2">
        <f t="shared" si="18"/>
        <v>0.48972520839611206</v>
      </c>
      <c r="W44" s="2">
        <f t="shared" si="28"/>
        <v>0.35705698754180798</v>
      </c>
      <c r="X44" s="2">
        <f t="shared" si="29"/>
        <v>6.372186407655302E-3</v>
      </c>
      <c r="Y44" s="2">
        <f t="shared" si="30"/>
        <v>56.033669560082757</v>
      </c>
      <c r="Z44" s="5">
        <f t="shared" si="31"/>
        <v>0.10131010955084647</v>
      </c>
      <c r="AA44" s="5">
        <f t="shared" si="32"/>
        <v>354.86186355804438</v>
      </c>
      <c r="AB44" s="2">
        <f t="shared" si="33"/>
        <v>315.86186355804438</v>
      </c>
      <c r="AC44" s="2">
        <f t="shared" si="34"/>
        <v>127.48969235243082</v>
      </c>
      <c r="AD44" s="2">
        <f t="shared" si="35"/>
        <v>1.1234716960150941</v>
      </c>
      <c r="AE44" s="12">
        <f t="shared" si="36"/>
        <v>0.10990191960602386</v>
      </c>
      <c r="AF44" s="2">
        <f t="shared" si="37"/>
        <v>0.35926569024393762</v>
      </c>
      <c r="AG44" s="2">
        <f t="shared" si="38"/>
        <v>0.40362483433839003</v>
      </c>
      <c r="AH44" s="2">
        <f t="shared" si="39"/>
        <v>1.1757593098564652</v>
      </c>
      <c r="AI44" s="2">
        <f t="shared" si="40"/>
        <v>2.6303178922960573</v>
      </c>
      <c r="AJ44" s="2">
        <f t="shared" si="23"/>
        <v>0.723374420583347</v>
      </c>
      <c r="AK44" s="2">
        <f t="shared" si="24"/>
        <v>0.14453849276870376</v>
      </c>
    </row>
    <row r="45" spans="1:37" x14ac:dyDescent="0.3">
      <c r="D45" s="16"/>
      <c r="H45" s="14"/>
      <c r="I45" s="14"/>
      <c r="J45" s="14"/>
      <c r="K45" s="16"/>
      <c r="L45" s="16"/>
    </row>
    <row r="46" spans="1:37" x14ac:dyDescent="0.3">
      <c r="D46" s="16"/>
      <c r="H46" s="14"/>
      <c r="I46" s="14"/>
      <c r="J46" s="14"/>
      <c r="K46" s="16"/>
      <c r="L46" s="16"/>
    </row>
    <row r="47" spans="1:37" x14ac:dyDescent="0.3">
      <c r="D47" s="16"/>
      <c r="E47" s="16"/>
      <c r="I47" s="14"/>
      <c r="J47" s="14"/>
      <c r="K47" s="16"/>
      <c r="L47" s="16"/>
    </row>
    <row r="48" spans="1:37" x14ac:dyDescent="0.3">
      <c r="D48" s="16"/>
      <c r="E48" s="16"/>
      <c r="I48" s="14"/>
      <c r="J48" s="14"/>
      <c r="K48" s="16"/>
      <c r="L48" s="16"/>
    </row>
    <row r="49" spans="4:12" x14ac:dyDescent="0.3">
      <c r="D49" s="16"/>
      <c r="E49" s="16"/>
      <c r="I49" s="14"/>
      <c r="J49" s="14"/>
      <c r="K49" s="16"/>
      <c r="L49" s="16"/>
    </row>
    <row r="50" spans="4:12" x14ac:dyDescent="0.3">
      <c r="D50" s="16"/>
      <c r="E50" s="16"/>
    </row>
    <row r="51" spans="4:12" x14ac:dyDescent="0.3">
      <c r="D51" s="16"/>
      <c r="E51" s="16"/>
    </row>
    <row r="52" spans="4:12" x14ac:dyDescent="0.3">
      <c r="D52" s="16"/>
      <c r="E52" s="16"/>
    </row>
    <row r="53" spans="4:12" x14ac:dyDescent="0.3">
      <c r="D53" s="16"/>
      <c r="E53" s="16"/>
    </row>
    <row r="54" spans="4:12" x14ac:dyDescent="0.3">
      <c r="D54" s="16"/>
      <c r="E54" s="16"/>
    </row>
    <row r="55" spans="4:12" x14ac:dyDescent="0.3">
      <c r="D55" s="16"/>
      <c r="E55" s="16"/>
    </row>
    <row r="56" spans="4:12" x14ac:dyDescent="0.3">
      <c r="D56" s="16"/>
      <c r="E56" s="16"/>
    </row>
    <row r="57" spans="4:12" x14ac:dyDescent="0.3">
      <c r="D57" s="16"/>
      <c r="E57" s="16"/>
    </row>
    <row r="58" spans="4:12" x14ac:dyDescent="0.3">
      <c r="D58" s="16"/>
      <c r="E58" s="16"/>
    </row>
    <row r="59" spans="4:12" x14ac:dyDescent="0.3">
      <c r="D59" s="16"/>
      <c r="E59" s="16"/>
    </row>
    <row r="60" spans="4:12" x14ac:dyDescent="0.3">
      <c r="D60" s="16"/>
      <c r="E60" s="16"/>
    </row>
    <row r="61" spans="4:12" x14ac:dyDescent="0.3">
      <c r="D61" s="16"/>
      <c r="E61" s="16"/>
    </row>
    <row r="62" spans="4:12" x14ac:dyDescent="0.3">
      <c r="D62" s="16"/>
      <c r="E62" s="16"/>
    </row>
    <row r="63" spans="4:12" x14ac:dyDescent="0.3">
      <c r="D63" s="16"/>
      <c r="E63" s="16"/>
    </row>
    <row r="64" spans="4:12" x14ac:dyDescent="0.3">
      <c r="D64" s="16"/>
      <c r="E64" s="16"/>
    </row>
  </sheetData>
  <mergeCells count="2">
    <mergeCell ref="A1:J1"/>
    <mergeCell ref="L1:A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experiments_present_work</vt:lpstr>
      <vt:lpstr>experiments_Pashias_et_al_1996</vt:lpstr>
      <vt:lpstr>experiments_Clayton_et_al_2003</vt:lpstr>
      <vt:lpstr>experiments_Saak_et_al_2004</vt:lpstr>
      <vt:lpstr>experiments_RousselCoussot_2005</vt:lpstr>
      <vt:lpstr>experiments_Pierre_et_al_2013</vt:lpstr>
      <vt:lpstr>experiments_Gao_Fourie_2015</vt:lpstr>
      <vt:lpstr>experiments_Liu_et_al_2018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Anselmo</dc:creator>
  <cp:lastModifiedBy>Administrateur</cp:lastModifiedBy>
  <dcterms:created xsi:type="dcterms:W3CDTF">2017-05-08T10:52:38Z</dcterms:created>
  <dcterms:modified xsi:type="dcterms:W3CDTF">2021-05-24T06:16:13Z</dcterms:modified>
</cp:coreProperties>
</file>